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225 Ausgabe 2022-07 Fassadenfarben\Zur Bearbeitung\Anlagen\"/>
    </mc:Choice>
  </mc:AlternateContent>
  <xr:revisionPtr revIDLastSave="0" documentId="13_ncr:1_{3E8294A2-AB23-4BA2-8D19-2EEF1D6400DC}" xr6:coauthVersionLast="36" xr6:coauthVersionMax="36" xr10:uidLastSave="{00000000-0000-0000-0000-000000000000}"/>
  <workbookProtection workbookAlgorithmName="SHA-512" workbookHashValue="7mWUKke/9Cm0Rby7HyYmZif38YSqyRsaFFL16Ns0dzybJKa7h/IxGTlb+0k62q2QWNqef2LpxRWR5Y6sCdTaXw==" workbookSaltValue="S+nW5WJa1MQIYa+StXdgqQ==" workbookSpinCount="100000" lockStructure="1"/>
  <bookViews>
    <workbookView xWindow="0" yWindow="11250" windowWidth="40815" windowHeight="18480" tabRatio="731" xr2:uid="{875E81A9-CFFE-4344-8C7B-01AFBA328734}"/>
  </bookViews>
  <sheets>
    <sheet name="Information" sheetId="1" r:id="rId1"/>
    <sheet name="Bestandteile - Ingredients" sheetId="5" r:id="rId2"/>
    <sheet name="Stoffgruppen - Substance groups" sheetId="2" r:id="rId3"/>
    <sheet name="VOC - SVOC" sheetId="10" r:id="rId4"/>
    <sheet name="H-Sätze - H phrases, TRGS, MAK" sheetId="7" r:id="rId5"/>
    <sheet name="Weichmacher - Plasticisers, VOC" sheetId="11" r:id="rId6"/>
    <sheet name="Change Log" sheetId="12" r:id="rId7"/>
    <sheet name="Text" sheetId="8" state="hidden" r:id="rId8"/>
    <sheet name="Drop" sheetId="6" state="hidden" r:id="rId9"/>
  </sheets>
  <definedNames>
    <definedName name="code" localSheetId="6">'Change Log'!#REF!</definedName>
    <definedName name="code">Text!$D$1</definedName>
    <definedName name="_xlnm.Print_Area" localSheetId="0">Information!$A$1:$G$117</definedName>
    <definedName name="Jain">Drop!$A$2:$A$4</definedName>
    <definedName name="Kontrollkästchen91" localSheetId="3">'VOC - SVOC'!#REF!</definedName>
    <definedName name="Kontrollkästchen95" localSheetId="3">'VOC - SVOC'!#REF!</definedName>
    <definedName name="Kontrollkästchen96" localSheetId="3">'VOC - SVOC'!$D$51</definedName>
    <definedName name="Language">Information!$F$2</definedName>
    <definedName name="Text31" localSheetId="3">'VOC - SVOC'!#REF!</definedName>
    <definedName name="Text32" localSheetId="3">'VOC - SVOC'!#REF!</definedName>
    <definedName name="Text33" localSheetId="3">'VOC - SVOC'!#REF!</definedName>
    <definedName name="Text40" localSheetId="3">'VOC - SVOC'!#REF!</definedName>
    <definedName name="Text41" localSheetId="3">'VOC - SVOC'!#REF!</definedName>
    <definedName name="translation" localSheetId="6">'Change Log'!#REF!</definedName>
    <definedName name="translation">Text!$A:$C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0" l="1"/>
  <c r="S44" i="2" l="1"/>
  <c r="U25" i="2"/>
  <c r="U31" i="2"/>
  <c r="U30" i="2"/>
  <c r="S47" i="2"/>
  <c r="S48" i="2"/>
  <c r="S49" i="2"/>
  <c r="S50" i="2"/>
  <c r="S51" i="2"/>
  <c r="S46" i="2"/>
  <c r="S41" i="2"/>
  <c r="X69" i="2"/>
  <c r="X66" i="2"/>
  <c r="X63" i="2"/>
  <c r="V60" i="2"/>
  <c r="U60" i="2"/>
  <c r="V59" i="2"/>
  <c r="U59" i="2"/>
  <c r="U54" i="2"/>
  <c r="S38" i="2"/>
  <c r="S37" i="2"/>
  <c r="S34" i="2"/>
  <c r="E4" i="2"/>
  <c r="G55" i="5"/>
  <c r="E33" i="1"/>
  <c r="X24" i="2"/>
  <c r="W24" i="2"/>
  <c r="T24" i="2"/>
  <c r="S24" i="2"/>
  <c r="X23" i="2"/>
  <c r="W23" i="2"/>
  <c r="V23" i="2"/>
  <c r="U23" i="2"/>
  <c r="T23" i="2"/>
  <c r="S23" i="2"/>
  <c r="X22" i="2"/>
  <c r="W22" i="2"/>
  <c r="V22" i="2"/>
  <c r="U22" i="2"/>
  <c r="T22" i="2"/>
  <c r="S22" i="2"/>
  <c r="X19" i="2"/>
  <c r="W19" i="2"/>
  <c r="V19" i="2"/>
  <c r="T19" i="2"/>
  <c r="S19" i="2"/>
  <c r="X18" i="2"/>
  <c r="W18" i="2"/>
  <c r="V18" i="2"/>
  <c r="T18" i="2"/>
  <c r="S18" i="2"/>
  <c r="X13" i="2"/>
  <c r="W13" i="2"/>
  <c r="V13" i="2"/>
  <c r="U13" i="2"/>
  <c r="T13" i="2"/>
  <c r="S13" i="2"/>
  <c r="X10" i="2"/>
  <c r="W10" i="2"/>
  <c r="V10" i="2"/>
  <c r="U10" i="2"/>
  <c r="T10" i="2"/>
  <c r="S10" i="2"/>
  <c r="S42" i="2" l="1"/>
  <c r="E35" i="1"/>
  <c r="E34" i="1"/>
  <c r="D1" i="8"/>
  <c r="D64" i="1" l="1"/>
  <c r="D63" i="1"/>
  <c r="D53" i="10"/>
  <c r="D38" i="10"/>
  <c r="H48" i="10"/>
  <c r="D29" i="10"/>
  <c r="D15" i="10"/>
  <c r="D6" i="10"/>
  <c r="D48" i="10"/>
  <c r="D32" i="10"/>
  <c r="G46" i="10"/>
  <c r="D27" i="10"/>
  <c r="D13" i="10"/>
  <c r="D45" i="10"/>
  <c r="D49" i="10"/>
  <c r="G36" i="10"/>
  <c r="D26" i="10"/>
  <c r="D12" i="10"/>
  <c r="D44" i="10"/>
  <c r="D51" i="10"/>
  <c r="G17" i="10"/>
  <c r="D19" i="10"/>
  <c r="D10" i="10"/>
  <c r="D24" i="10"/>
  <c r="D42" i="10"/>
  <c r="D22" i="10"/>
  <c r="D36" i="10"/>
  <c r="D20" i="10"/>
  <c r="D9" i="10"/>
  <c r="D34" i="10"/>
  <c r="D41" i="10"/>
  <c r="D46" i="10"/>
  <c r="D35" i="10"/>
  <c r="D18" i="10"/>
  <c r="D8" i="10"/>
  <c r="D17" i="10"/>
  <c r="D39" i="10"/>
  <c r="D37" i="10"/>
  <c r="D31" i="10"/>
  <c r="D16" i="10"/>
  <c r="D4" i="10"/>
  <c r="D47" i="10"/>
  <c r="G34" i="10"/>
  <c r="G15" i="10"/>
  <c r="H41" i="2"/>
  <c r="G44" i="10"/>
  <c r="D59" i="2"/>
  <c r="D69" i="2"/>
  <c r="D68" i="2"/>
  <c r="D57" i="2"/>
  <c r="D66" i="2"/>
  <c r="D55" i="2"/>
  <c r="D65" i="2"/>
  <c r="D54" i="2"/>
  <c r="D63" i="2"/>
  <c r="D53" i="2"/>
  <c r="D62" i="2"/>
  <c r="D40" i="2"/>
  <c r="D60" i="2"/>
  <c r="D71" i="2"/>
  <c r="D58" i="2"/>
  <c r="D33" i="2"/>
  <c r="D42" i="2"/>
  <c r="D41" i="2"/>
  <c r="D38" i="2"/>
  <c r="D27" i="2"/>
  <c r="D37" i="2"/>
  <c r="D36" i="2"/>
  <c r="D34" i="2"/>
  <c r="D43" i="2"/>
  <c r="D22" i="2"/>
  <c r="D12" i="2"/>
  <c r="D21" i="2"/>
  <c r="D10" i="2"/>
  <c r="E26" i="2"/>
  <c r="D17" i="2"/>
  <c r="D9" i="2"/>
  <c r="E25" i="2"/>
  <c r="D19" i="2"/>
  <c r="D7" i="2"/>
  <c r="D13" i="2"/>
  <c r="H24" i="2"/>
  <c r="D18" i="2"/>
  <c r="D6" i="2"/>
  <c r="D24" i="2"/>
  <c r="D15" i="2"/>
  <c r="D4" i="2"/>
  <c r="D25" i="2"/>
  <c r="D14" i="2"/>
  <c r="D2" i="2"/>
  <c r="D23" i="2"/>
  <c r="A2" i="7"/>
  <c r="A1" i="7"/>
  <c r="F2" i="7"/>
  <c r="B2" i="7"/>
  <c r="F12" i="7"/>
  <c r="F4" i="7"/>
  <c r="D12" i="11"/>
  <c r="E25" i="11"/>
  <c r="D15" i="11"/>
  <c r="F11" i="7"/>
  <c r="F3" i="7"/>
  <c r="D11" i="11"/>
  <c r="D25" i="11"/>
  <c r="D14" i="11"/>
  <c r="F10" i="7"/>
  <c r="F9" i="7"/>
  <c r="A1" i="11"/>
  <c r="F9" i="11"/>
  <c r="D16" i="11"/>
  <c r="D2" i="11"/>
  <c r="F8" i="7"/>
  <c r="D21" i="11"/>
  <c r="F7" i="11"/>
  <c r="E4" i="11"/>
  <c r="D1" i="11"/>
  <c r="E16" i="11"/>
  <c r="F7" i="7"/>
  <c r="D29" i="11"/>
  <c r="F4" i="11"/>
  <c r="D4" i="11"/>
  <c r="F6" i="7"/>
  <c r="D28" i="11"/>
  <c r="F25" i="11"/>
  <c r="D24" i="11"/>
  <c r="D3" i="11"/>
  <c r="D23" i="11"/>
  <c r="F5" i="7"/>
  <c r="D20" i="11"/>
  <c r="F16" i="11"/>
  <c r="G4" i="11"/>
  <c r="B1" i="11"/>
  <c r="E15" i="5"/>
  <c r="D44" i="2"/>
  <c r="D2" i="10"/>
  <c r="H44" i="2"/>
  <c r="G45" i="2"/>
  <c r="G44" i="2"/>
  <c r="F44" i="2"/>
  <c r="E44" i="2"/>
  <c r="G29" i="2"/>
  <c r="H28" i="2"/>
  <c r="G28" i="2"/>
  <c r="F28" i="2"/>
  <c r="E28" i="2"/>
  <c r="D28" i="2"/>
  <c r="E79" i="1"/>
  <c r="D62" i="1"/>
  <c r="E74" i="1"/>
  <c r="D73" i="1"/>
  <c r="D61" i="1"/>
  <c r="D58" i="1"/>
  <c r="E62" i="1"/>
  <c r="D60" i="1"/>
  <c r="E59" i="1"/>
  <c r="D57" i="1"/>
  <c r="E57" i="1"/>
  <c r="E61" i="1"/>
  <c r="D59" i="1"/>
  <c r="E58" i="1"/>
  <c r="E60" i="1"/>
  <c r="D84" i="1"/>
  <c r="D69" i="1"/>
  <c r="D82" i="1"/>
  <c r="D81" i="1"/>
  <c r="D78" i="1"/>
  <c r="D79" i="1"/>
  <c r="D71" i="1"/>
  <c r="D20" i="1"/>
  <c r="D77" i="1"/>
  <c r="E10" i="1"/>
  <c r="D10" i="1"/>
  <c r="D66" i="1"/>
  <c r="D56" i="1"/>
  <c r="E47" i="1"/>
  <c r="E14" i="1"/>
  <c r="D27" i="1"/>
  <c r="D11" i="1"/>
  <c r="D49" i="1"/>
  <c r="D12" i="1"/>
  <c r="D42" i="1"/>
  <c r="E11" i="1"/>
  <c r="D30" i="1"/>
  <c r="D12" i="5"/>
  <c r="I15" i="5"/>
  <c r="G42" i="5"/>
  <c r="D52" i="1"/>
  <c r="D19" i="1"/>
  <c r="D33" i="1"/>
  <c r="D53" i="1"/>
  <c r="D41" i="1"/>
  <c r="D5" i="5"/>
  <c r="D38" i="5"/>
  <c r="D55" i="5"/>
  <c r="D13" i="1"/>
  <c r="D17" i="1"/>
  <c r="D14" i="1"/>
  <c r="E4" i="1"/>
  <c r="E9" i="1"/>
  <c r="D34" i="1"/>
  <c r="D54" i="1"/>
  <c r="D45" i="1"/>
  <c r="D7" i="5"/>
  <c r="F15" i="5"/>
  <c r="D40" i="5"/>
  <c r="D56" i="5"/>
  <c r="D7" i="1"/>
  <c r="D24" i="1"/>
  <c r="D35" i="1"/>
  <c r="D37" i="1"/>
  <c r="E46" i="1"/>
  <c r="D9" i="5"/>
  <c r="G15" i="5"/>
  <c r="D41" i="5"/>
  <c r="D58" i="5"/>
  <c r="D9" i="1"/>
  <c r="E12" i="1"/>
  <c r="D25" i="1"/>
  <c r="D38" i="1"/>
  <c r="D10" i="5"/>
  <c r="G16" i="5"/>
  <c r="F41" i="5"/>
  <c r="D61" i="5"/>
  <c r="E13" i="1"/>
  <c r="D26" i="1"/>
  <c r="D39" i="1"/>
  <c r="H15" i="5"/>
  <c r="G41" i="5"/>
  <c r="D62" i="5"/>
  <c r="D63" i="5"/>
  <c r="D28" i="1"/>
  <c r="D50" i="1"/>
  <c r="D43" i="1"/>
  <c r="D2" i="5"/>
  <c r="D14" i="5"/>
  <c r="S15" i="5"/>
  <c r="E41" i="5"/>
  <c r="D64" i="5"/>
  <c r="D31" i="1"/>
  <c r="D40" i="1"/>
  <c r="D4" i="5"/>
  <c r="D15" i="5"/>
  <c r="U16" i="5"/>
  <c r="D54" i="5"/>
  <c r="A4" i="6" l="1"/>
  <c r="A3" i="6"/>
</calcChain>
</file>

<file path=xl/sharedStrings.xml><?xml version="1.0" encoding="utf-8"?>
<sst xmlns="http://schemas.openxmlformats.org/spreadsheetml/2006/main" count="803" uniqueCount="695">
  <si>
    <t>Angaben zum Unternehmen</t>
  </si>
  <si>
    <t>Name:</t>
  </si>
  <si>
    <t>Telefonnummer:</t>
  </si>
  <si>
    <t>E-Mail-Adresse:</t>
  </si>
  <si>
    <t>Handelsname des Produkts:</t>
  </si>
  <si>
    <t>Angaben zum Produkt</t>
  </si>
  <si>
    <t>Das Produkt ist ein:</t>
  </si>
  <si>
    <t>Stoff</t>
  </si>
  <si>
    <t>Gemisch</t>
  </si>
  <si>
    <t>Funktion:</t>
  </si>
  <si>
    <t>Aggregatszustand:</t>
  </si>
  <si>
    <t>CAS-Nr. (bei Stoffen):</t>
  </si>
  <si>
    <t>EC-Nr. (bei Stoffen):</t>
  </si>
  <si>
    <t>H-Sätze:</t>
  </si>
  <si>
    <t>Name des Unternehmens:</t>
  </si>
  <si>
    <t>Vollständige Anschrift:</t>
  </si>
  <si>
    <t>Emissions- und schadstoffarme Lacke</t>
  </si>
  <si>
    <t>Emissionsarme Bodenbelagsklebstoffe und andere Verlegewerkstoffe</t>
  </si>
  <si>
    <t>Emissionsarme Dichtstoffe für den Innenraum</t>
  </si>
  <si>
    <t>Emissionsarme Putze für den Innenraum</t>
  </si>
  <si>
    <t>Sprache/Language:</t>
  </si>
  <si>
    <t>DE - Deutsch</t>
  </si>
  <si>
    <t>EN - English</t>
  </si>
  <si>
    <t>Low-emission and low-pollutant paints and varnishes</t>
  </si>
  <si>
    <t>Low-emission Flooring Adhesives and other Installation Materials</t>
  </si>
  <si>
    <t>Low-Emission Sealants for Interior Use</t>
  </si>
  <si>
    <t>Low-Emission Internal Plasters</t>
  </si>
  <si>
    <t>Company Information</t>
  </si>
  <si>
    <t>Function:</t>
  </si>
  <si>
    <t>The company is a chemical manufacturer.</t>
  </si>
  <si>
    <t>The company is a chemical supplier.</t>
  </si>
  <si>
    <t>Company Name:</t>
  </si>
  <si>
    <t>Full address:</t>
  </si>
  <si>
    <t>Phone number:</t>
  </si>
  <si>
    <t>E-mail address:</t>
  </si>
  <si>
    <t>Product details</t>
  </si>
  <si>
    <t>Trade name of the product:</t>
  </si>
  <si>
    <t>The product is a:</t>
  </si>
  <si>
    <t>Substance</t>
  </si>
  <si>
    <t>Mixture</t>
  </si>
  <si>
    <t>CAS No. (for substances):</t>
  </si>
  <si>
    <t>EC-No. (for substances):</t>
  </si>
  <si>
    <t>State of aggregation:</t>
  </si>
  <si>
    <t>DE-UZ 12a - Ausgabe Januar 2019</t>
  </si>
  <si>
    <t>DE-UZ 12a - Edition January 2019</t>
  </si>
  <si>
    <t>DE-UZ 113 - Ausgabe Januar 2019</t>
  </si>
  <si>
    <t>DE-UZ 123 - Ausgabe Januar 2019</t>
  </si>
  <si>
    <t>DE-UZ 198 - Ausgabe Januar 2019</t>
  </si>
  <si>
    <t>DE-UZ 113 - Edition January 2019</t>
  </si>
  <si>
    <t>DE-UZ 123 - Edition January 2019</t>
  </si>
  <si>
    <t>DE-UZ 198 - Edition January 2019</t>
  </si>
  <si>
    <t>Bei Kennzeichnung mit H400: M-Faktor =</t>
  </si>
  <si>
    <t>Bei Kennzeichnung mit H410: M-Faktor =</t>
  </si>
  <si>
    <t>If labeled H400: M-factor =</t>
  </si>
  <si>
    <t>If labeled with H410: M-factor =</t>
  </si>
  <si>
    <t>DE-UZ 102 - Ausgabe Januar 2019</t>
  </si>
  <si>
    <t>Emissionsarme Innenwandfarben</t>
  </si>
  <si>
    <t>Funktion</t>
  </si>
  <si>
    <t>H-Sätze</t>
  </si>
  <si>
    <t>CAS-Nr.</t>
  </si>
  <si>
    <t>H phrases:</t>
  </si>
  <si>
    <t>Function</t>
  </si>
  <si>
    <t>DE-UZ 225 - Edition July 2022</t>
  </si>
  <si>
    <t>DE-UZ 225 - Ausgabe Juli 2022</t>
  </si>
  <si>
    <t>Schadstoffarme Fassadenfarben</t>
  </si>
  <si>
    <t>Low-pollutant facade paints</t>
  </si>
  <si>
    <t>Kontaktperson für Rückfragen</t>
  </si>
  <si>
    <t>Contact person for questions</t>
  </si>
  <si>
    <t>Chemikalienherstellers</t>
  </si>
  <si>
    <t>Chemikalienlieferanten</t>
  </si>
  <si>
    <t>Erklärung des</t>
  </si>
  <si>
    <t>CLP-Verordnung.</t>
  </si>
  <si>
    <t>der Blauen Engels für die nachfolgenden Angaben verwenden und nicht die Grenzwerte aus der REACH- oder</t>
  </si>
  <si>
    <t>Wir bestätigen, dass wir die abweichenden Kriterien (z.B. Berücksichtigungsgrenzwerte oder Stoffausschlüsse)</t>
  </si>
  <si>
    <t>(Hinweis: Bitte erfragen Sie die notwendigen Daten beim Hersteller.</t>
  </si>
  <si>
    <t>Sie können dazu das Dokument gerne weiterleiten.)</t>
  </si>
  <si>
    <t>ist nicht älter als 2 Jahre (SDS gemäß REACH-Verordnung, Einstufung gemäß CLP-Verordnung).</t>
  </si>
  <si>
    <t>Die aktuellste Version des EU-Sicherheitsdatenblatts des genannten Produkts wird mit eingereicht und</t>
  </si>
  <si>
    <t>Angaben zu den Bestandteilen des Produkts</t>
  </si>
  <si>
    <t>Table 1</t>
  </si>
  <si>
    <t>EC-Nr.</t>
  </si>
  <si>
    <t>[Gew.-%]</t>
  </si>
  <si>
    <t>[% (w/w)]</t>
  </si>
  <si>
    <t>Bitte fahren Sie auf Tabellenblatt "Bestandteile - Ingredients" fort.</t>
  </si>
  <si>
    <t>350i</t>
  </si>
  <si>
    <t>360D</t>
  </si>
  <si>
    <t>360F</t>
  </si>
  <si>
    <t>360FD</t>
  </si>
  <si>
    <t>360Df</t>
  </si>
  <si>
    <t>360Fd</t>
  </si>
  <si>
    <t>361d</t>
  </si>
  <si>
    <t>361f</t>
  </si>
  <si>
    <t>361fd</t>
  </si>
  <si>
    <t>*</t>
  </si>
  <si>
    <t>Konstitutionelle Bestandteile sind Stoffe, die dem Produkt als solche oder als Bestandteil von Gemischen zugegeben werden, um</t>
  </si>
  <si>
    <t>bestimmte Produkteigenschaften zu erreichen oder zu beeinflussen sowie Stoffe, die als chemische Spaltprodukte zur Erzielung</t>
  </si>
  <si>
    <t>der Produkteigenschaften erforderlich sind. Auf ein Minimum reduzierte Restmonomere fallen beispielsweise nicht darunter.</t>
  </si>
  <si>
    <t>Tabelle 1</t>
  </si>
  <si>
    <t>H400</t>
  </si>
  <si>
    <t>H410</t>
  </si>
  <si>
    <t>SVHC</t>
  </si>
  <si>
    <t>M-Faktor</t>
  </si>
  <si>
    <t>SCL**</t>
  </si>
  <si>
    <t>M factor</t>
  </si>
  <si>
    <t>Spezifische Konzentrationsgrenzwerte (aus der CLP-Verordnung)</t>
  </si>
  <si>
    <t>Specific concentration limits (from the CLP regulation)</t>
  </si>
  <si>
    <t>**</t>
  </si>
  <si>
    <t>Jain</t>
  </si>
  <si>
    <t>Ja</t>
  </si>
  <si>
    <t>Nein</t>
  </si>
  <si>
    <t>Yes</t>
  </si>
  <si>
    <t>No</t>
  </si>
  <si>
    <t>Tabelle 2</t>
  </si>
  <si>
    <t>Table 2</t>
  </si>
  <si>
    <t>Acute Tox 1/2</t>
  </si>
  <si>
    <t>Acute Tox 4</t>
  </si>
  <si>
    <t>Acute Tox 3</t>
  </si>
  <si>
    <t>Aquatic Acute</t>
  </si>
  <si>
    <t>Asp Tox 1</t>
  </si>
  <si>
    <t>Aquatic Chronic 1</t>
  </si>
  <si>
    <t>Aquatic Chronic 2</t>
  </si>
  <si>
    <t>Muta 1A / 1B</t>
  </si>
  <si>
    <t>Skin Corr 1</t>
  </si>
  <si>
    <t>STOT SE 2</t>
  </si>
  <si>
    <t>Aquatic Chronic 3</t>
  </si>
  <si>
    <t>Carc 1A / 1B</t>
  </si>
  <si>
    <t>Skin Irrit 2</t>
  </si>
  <si>
    <t>STOT RE 2</t>
  </si>
  <si>
    <t>STOT SE 1</t>
  </si>
  <si>
    <t>Skin Sens 1</t>
  </si>
  <si>
    <t>Muta 2</t>
  </si>
  <si>
    <t>STOT RE 1</t>
  </si>
  <si>
    <t>Eye Dam 1</t>
  </si>
  <si>
    <t>Carc 2</t>
  </si>
  <si>
    <t>Eye Irrit 2</t>
  </si>
  <si>
    <t>Repr 2</t>
  </si>
  <si>
    <t>Repr 1A / 1B</t>
  </si>
  <si>
    <t>Resp Sens 1</t>
  </si>
  <si>
    <t>STOT SE 3</t>
  </si>
  <si>
    <t>Folgende Konservierungsmittel (einschließlich Formaldehydabspalter) sind enthalten:</t>
  </si>
  <si>
    <t>Einsatzmenge</t>
  </si>
  <si>
    <t>Quantity used</t>
  </si>
  <si>
    <t>Relevante H-Sätze</t>
  </si>
  <si>
    <t>Hinweis: Die enthaltenen Konservierungsmittel sind in Tabelle 2 separat anzugeben.</t>
  </si>
  <si>
    <t>Ferner bestätigen wir, dass keine weiteren als die in Tabelle 2 genannten Konservierungsmitteln enthalten sind.</t>
  </si>
  <si>
    <t>entsprechend eingestuften Bestandteile enthält.</t>
  </si>
  <si>
    <t>Wir bestätigen, dass das genannte Produkt neben den in den Tabellen 1 genannten Bestandteilen keine weiteren</t>
  </si>
  <si>
    <t>Bitte fahren Sie auf Tabellenblatt "Stoffgruppen - Substance groups" fort.</t>
  </si>
  <si>
    <t>Letzte Aktualisierung:</t>
  </si>
  <si>
    <t>Last updated:</t>
  </si>
  <si>
    <t>(großes "X" eintragen)</t>
  </si>
  <si>
    <t>(fill in capital "X")</t>
  </si>
  <si>
    <t>Original</t>
  </si>
  <si>
    <t>Spalte</t>
  </si>
  <si>
    <t>#0001</t>
  </si>
  <si>
    <t>#0002</t>
  </si>
  <si>
    <t>#0003</t>
  </si>
  <si>
    <t>#0004</t>
  </si>
  <si>
    <t>#0005</t>
  </si>
  <si>
    <t>#0006</t>
  </si>
  <si>
    <t>#0007</t>
  </si>
  <si>
    <t>#0008</t>
  </si>
  <si>
    <t>#0009</t>
  </si>
  <si>
    <t>#0010</t>
  </si>
  <si>
    <t>#0011</t>
  </si>
  <si>
    <t>#0012</t>
  </si>
  <si>
    <t>#0013</t>
  </si>
  <si>
    <t>#0014</t>
  </si>
  <si>
    <t>#0015</t>
  </si>
  <si>
    <t>#0016</t>
  </si>
  <si>
    <t>#0017</t>
  </si>
  <si>
    <t>#0018</t>
  </si>
  <si>
    <t>#0019</t>
  </si>
  <si>
    <t>#0020</t>
  </si>
  <si>
    <t>#0021</t>
  </si>
  <si>
    <t>#0022</t>
  </si>
  <si>
    <t>#0023</t>
  </si>
  <si>
    <t>#0024</t>
  </si>
  <si>
    <t>#0025</t>
  </si>
  <si>
    <t>#0026</t>
  </si>
  <si>
    <t>#0027</t>
  </si>
  <si>
    <t>#0028</t>
  </si>
  <si>
    <t>#0029</t>
  </si>
  <si>
    <t>#0030</t>
  </si>
  <si>
    <t>#0031</t>
  </si>
  <si>
    <t>#0032</t>
  </si>
  <si>
    <t>#0033</t>
  </si>
  <si>
    <t>#0034</t>
  </si>
  <si>
    <t>#0035</t>
  </si>
  <si>
    <t>#0036</t>
  </si>
  <si>
    <t>#0037</t>
  </si>
  <si>
    <t>#0038</t>
  </si>
  <si>
    <t>#0039</t>
  </si>
  <si>
    <t>#0040</t>
  </si>
  <si>
    <t>#0041</t>
  </si>
  <si>
    <t>#0042</t>
  </si>
  <si>
    <t>#0043</t>
  </si>
  <si>
    <t>#0044</t>
  </si>
  <si>
    <t>#0045</t>
  </si>
  <si>
    <t>#0046</t>
  </si>
  <si>
    <t>#0047</t>
  </si>
  <si>
    <t>#0048</t>
  </si>
  <si>
    <t>#0049</t>
  </si>
  <si>
    <t>#0050</t>
  </si>
  <si>
    <t>#0051</t>
  </si>
  <si>
    <t>#0052</t>
  </si>
  <si>
    <t>#0053</t>
  </si>
  <si>
    <t>#0054</t>
  </si>
  <si>
    <t>#0055</t>
  </si>
  <si>
    <t>#0056</t>
  </si>
  <si>
    <t>#0057</t>
  </si>
  <si>
    <t>#0058</t>
  </si>
  <si>
    <t>#0059</t>
  </si>
  <si>
    <t>#0060</t>
  </si>
  <si>
    <t>#0061</t>
  </si>
  <si>
    <t>#0062</t>
  </si>
  <si>
    <t>#0063</t>
  </si>
  <si>
    <t>#0064</t>
  </si>
  <si>
    <t>#0065</t>
  </si>
  <si>
    <t>#0066</t>
  </si>
  <si>
    <t>#0067</t>
  </si>
  <si>
    <t>#0068</t>
  </si>
  <si>
    <t>#0069</t>
  </si>
  <si>
    <t>#0070</t>
  </si>
  <si>
    <t>#0071</t>
  </si>
  <si>
    <t>#0072</t>
  </si>
  <si>
    <t>#0073</t>
  </si>
  <si>
    <t>DE-UZ 102 - Edition January 2019</t>
  </si>
  <si>
    <t>#0074</t>
  </si>
  <si>
    <t>Low-emission Interior Wall Paints</t>
  </si>
  <si>
    <t>X</t>
  </si>
  <si>
    <t>#0075</t>
  </si>
  <si>
    <t>#0076</t>
  </si>
  <si>
    <t>#0077</t>
  </si>
  <si>
    <t>Angaben zu Bestandteilen des Produkt, die bestimmten Stoffgruppen angehören</t>
  </si>
  <si>
    <t>Diese Anlage gilt für die folgenden Vergabekriterien:</t>
  </si>
  <si>
    <t>#0078</t>
  </si>
  <si>
    <t>#0079</t>
  </si>
  <si>
    <t>#0080</t>
  </si>
  <si>
    <t>#0081</t>
  </si>
  <si>
    <t>#0082</t>
  </si>
  <si>
    <t>#0083</t>
  </si>
  <si>
    <t>Anmerkungen:</t>
  </si>
  <si>
    <t>Diese Erklärung kann auch direkt bei RAL eingereicht werden:</t>
  </si>
  <si>
    <t>This declaration may also be presented directly to RAL:</t>
  </si>
  <si>
    <t>Betreff:</t>
  </si>
  <si>
    <t>Subject:</t>
  </si>
  <si>
    <t>Ort:</t>
  </si>
  <si>
    <t>Place:</t>
  </si>
  <si>
    <t>Datum:</t>
  </si>
  <si>
    <t>Date:</t>
  </si>
  <si>
    <t>Autorisierte Unterschrift und Firmenstempel:</t>
  </si>
  <si>
    <t>Authorized signature and company stamp:</t>
  </si>
  <si>
    <t>#0084</t>
  </si>
  <si>
    <t>#0085</t>
  </si>
  <si>
    <t>#0086</t>
  </si>
  <si>
    <t>#0087</t>
  </si>
  <si>
    <t>#0088</t>
  </si>
  <si>
    <t>RAL gGmbH</t>
  </si>
  <si>
    <t>Fränkische Str. 7</t>
  </si>
  <si>
    <t>53229 Bonn</t>
  </si>
  <si>
    <t>+49 (0) 228 688 95 - 190</t>
  </si>
  <si>
    <t>umweltzeichen@ral.de</t>
  </si>
  <si>
    <t>Environment</t>
  </si>
  <si>
    <t>Umwelt</t>
  </si>
  <si>
    <t>Fragebogen zu den verwendeten Chemikalien - Anlage R</t>
  </si>
  <si>
    <t>Questionnaire on the chemicals used - Annex R</t>
  </si>
  <si>
    <t>Annex R - DE-UZ 2a, 102, 113, 123, 198, 225</t>
  </si>
  <si>
    <t>Anlage R - DE-UZ 12a, 102, 113, 123, 198, 225</t>
  </si>
  <si>
    <t>TRGS</t>
  </si>
  <si>
    <t>MAK</t>
  </si>
  <si>
    <t>H phrases (please enter without the H and only one H phrase per cell)</t>
  </si>
  <si>
    <t>H-Sätze (bitte ohne das H eintragen und pro Zelle nur ein H-Satz)</t>
  </si>
  <si>
    <t>TRGS 905</t>
  </si>
  <si>
    <t>MAK-Liste</t>
  </si>
  <si>
    <t>K1A</t>
  </si>
  <si>
    <t>K1B</t>
  </si>
  <si>
    <t>K2</t>
  </si>
  <si>
    <t>M1A</t>
  </si>
  <si>
    <t>M1B</t>
  </si>
  <si>
    <t>M2</t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</si>
  <si>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1A</t>
    </r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</si>
  <si>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1B</t>
    </r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</si>
  <si>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2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</si>
  <si>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1A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</si>
  <si>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1B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</si>
  <si>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2</t>
    </r>
  </si>
  <si>
    <t>krebserzeugend Kategorie 1</t>
  </si>
  <si>
    <t>krebserzeugend Kategorie 2</t>
  </si>
  <si>
    <t>krebserzeugend Kategorie 3A</t>
  </si>
  <si>
    <t>krebserzeugend Kategorie 3B</t>
  </si>
  <si>
    <t>keimzellmutagen Kategorie 1</t>
  </si>
  <si>
    <t>keimzellmutagen Kategorie 2</t>
  </si>
  <si>
    <t>keimzellmutagen Kategorie 3A</t>
  </si>
  <si>
    <t>keimzellmutagen Kategorie 3B</t>
  </si>
  <si>
    <t>Weichmacher</t>
  </si>
  <si>
    <t>Dibutylmaleinat</t>
  </si>
  <si>
    <t>Dibutylsebazat (DBS)</t>
  </si>
  <si>
    <t>Dibutylterephthalat (DBT)</t>
  </si>
  <si>
    <t>Diethylhexyladipat (DEHA)</t>
  </si>
  <si>
    <t>Diisodecyladipat (DIDA)</t>
  </si>
  <si>
    <t>Diisononyladipat (DINA)</t>
  </si>
  <si>
    <t>Diisotridecyladipat (DTDA)</t>
  </si>
  <si>
    <t>Dimethyladipat</t>
  </si>
  <si>
    <t>Dimethylglutarat</t>
  </si>
  <si>
    <t>Dimethylsebazat (DMS)</t>
  </si>
  <si>
    <t>Dimethylsuccinat</t>
  </si>
  <si>
    <t>Dioctylterephthalat (DOTP)</t>
  </si>
  <si>
    <t>Dipropylheptylphthalat (DPHP)</t>
  </si>
  <si>
    <t>epoxidiertes Leinsamenöl (ELO)</t>
  </si>
  <si>
    <t>epoxidiertes Sojabohnenöl (ESO)</t>
  </si>
  <si>
    <t>hydriertes Rizinusöl</t>
  </si>
  <si>
    <t>Isodecylbenzoat (IDB)</t>
  </si>
  <si>
    <t>Isononylbenzoat (INB)</t>
  </si>
  <si>
    <t>Tributyl-O-acetylcitrat</t>
  </si>
  <si>
    <t>Trioctyltrimellitat (TOTM)</t>
  </si>
  <si>
    <t>Di-(2-ethylhexyl)-phthalat (DEHP)</t>
  </si>
  <si>
    <t>Dibutylphthalat (DBP)</t>
  </si>
  <si>
    <t>Benzylbutylphthalat (BBP)</t>
  </si>
  <si>
    <t>Di-isononylphthalat (DINP2) / 1,2-Benzenedicarboxylic acid, 1,2-diisononyl ester</t>
  </si>
  <si>
    <t>Di-isononylphthalat (DINP1) / 1,2-Benzenedicarboxylic acid, di-C8-10-branched alkyl esters, C9-rich</t>
  </si>
  <si>
    <t>Di-isodecylphthalat (DIDP) / 1,2-Benzenedicarboxylic acid, 1,2-diisodecyl ester</t>
  </si>
  <si>
    <t>Di-isodecylphthalat (DIDP) / 1,2-Benzenedicarboxylic acid, di-C9-11-branched alkyl esters, C10-rich</t>
  </si>
  <si>
    <t>Di-n-octylphthalat (DNOP)</t>
  </si>
  <si>
    <t>1,2-Cyclohexandicarbonsäurediisononylester</t>
  </si>
  <si>
    <t>Weichmacher aus der Gruppe der Organophosphate sind dem Produkt nicht zugesetzt.</t>
  </si>
  <si>
    <t>Weichmacher aus der Gruppe der Phthalate sind dem Produkt nicht zugesetzt.</t>
  </si>
  <si>
    <t>Diese Angabe ist wichtig um zu entscheiden, ob der Stoff konstitutionell* ist und ob das Produkt dennoch verwendet werden darf.</t>
  </si>
  <si>
    <t>12a</t>
  </si>
  <si>
    <t>Perfluorierte und polyfluorierte Chemikalien</t>
  </si>
  <si>
    <t>Alkylphenolethoxylate</t>
  </si>
  <si>
    <t>Produkte, die Alkylphenolethoxylate (APEO) und/oder deren Derivate enthalten, werden nicht zugesetzt.</t>
  </si>
  <si>
    <t>Pigmente, die Bleiverbindungen enthalten, werden nicht zugesetzt.</t>
  </si>
  <si>
    <t>Prozessbedingte, technisch unvermeidbare Blei-Verunreinigungen sind enthalten mit:</t>
  </si>
  <si>
    <t>ppm</t>
  </si>
  <si>
    <t>Beipsiele: Tallöle, Ölsäure, etc.</t>
  </si>
  <si>
    <t>Als Katalysator für Vernetzungsreaktionen von SMP-Produkten wird folgende zinnorganische Verbindung verwendet:</t>
  </si>
  <si>
    <t>Weichmacher gemäß VdL-Richtlinie 01 sind dem Produkt nicht zugesetzt.</t>
  </si>
  <si>
    <t>Di-n-octyl-Zinn-dimaleinat</t>
  </si>
  <si>
    <t>Di-n-octyl-Zinn-dilaurat (CAS-Nr.: 3648-18-8)</t>
  </si>
  <si>
    <t>Oxime und Vorprodukte, die Oxime enthalten, werden nicht zugesetzt.</t>
  </si>
  <si>
    <t>Sikkative, die Bleiverbindungen enthalten, werden nicht zugesetzt.</t>
  </si>
  <si>
    <t>Polymerdispersionen, Harze oder vergleichbare Bestandteile enthalten keine oxidierbaren Fettsäuren oder Fettsäureester als konstitutionelle Bestandteile.</t>
  </si>
  <si>
    <t>Per- und polyfluorierten Chemikalien (PFC) werden nicht eingesetzt.</t>
  </si>
  <si>
    <t>Beispiele: Fluorcarbonharze und -dispersionen, perfluorierte Tenside, perfluorierte Sulfon- und Carbonsäuren, PFC behandelte Vorprodukte</t>
  </si>
  <si>
    <t>Bitte listen Sie diese hier auf:</t>
  </si>
  <si>
    <t>PVC wird nicht zugesetzt.</t>
  </si>
  <si>
    <t>Flammschutzmittel werden nicht eingesetzt.</t>
  </si>
  <si>
    <t>Halogenierte organische Verbindungen werden nicht eingesetzt.</t>
  </si>
  <si>
    <t xml:space="preserve">und eine bestimmte Menge nicht überschreiten. </t>
  </si>
  <si>
    <t>Viskositätsregulierende Stoffe dürfen enthalten sein, sofern sie nach CLP-Verordnung kennzeichnungsfrei sind</t>
  </si>
  <si>
    <t>Pigmente</t>
  </si>
  <si>
    <t>Zinnorganische Verbindungen (betrifft nur DE-UZ 113 und DE-UZ 123)</t>
  </si>
  <si>
    <t>Sikkative (betrifft nur DE-UZ 12a)</t>
  </si>
  <si>
    <t>Oxime (betrifft nur DE-UZ 12a)</t>
  </si>
  <si>
    <t>Oxidierbare Fettsäuren und Fettsäureester (betrifft nur DE-UZ 113)</t>
  </si>
  <si>
    <t>Flammschutzmittel (betrifft nur DE-UZ 225)</t>
  </si>
  <si>
    <t>Halogene (betrifft nur DE-UZ 225)</t>
  </si>
  <si>
    <t>PVC (betrifft nur DE-UZ 225)</t>
  </si>
  <si>
    <t>Betrifft nur DE-UZ 113:</t>
  </si>
  <si>
    <t>Sofern alle Vergabekriterien erfüllt werden sollen, müssen hier alle Punkt ausgefüllt werden.</t>
  </si>
  <si>
    <t>Sofern Sie sich auf bestimmte Vergabekriterien beschränken möchten, beachten Sie bitte die in den Klammern angegeben Vergabekriterien.</t>
  </si>
  <si>
    <t>Angaben zu im Produkt enthaltenen VOC und SVOC</t>
  </si>
  <si>
    <t>Bitte füllen Sie zutreffendes aus.</t>
  </si>
  <si>
    <t>Gew.-%</t>
  </si>
  <si>
    <t>Gruppe</t>
  </si>
  <si>
    <t>NIK-Wert</t>
  </si>
  <si>
    <t>VVOC</t>
  </si>
  <si>
    <t>VOC A</t>
  </si>
  <si>
    <t>&lt; 200 °C</t>
  </si>
  <si>
    <t>&gt; 100 µg/m³</t>
  </si>
  <si>
    <t>VOC B</t>
  </si>
  <si>
    <t>&lt; 100 µg/m³ oder kein</t>
  </si>
  <si>
    <t>VOC C</t>
  </si>
  <si>
    <t>VOC D</t>
  </si>
  <si>
    <t>SVOC</t>
  </si>
  <si>
    <t>Für das oben genannte Produkt und weitere abgefragte Produkte wird eine Liste der SVOC-Gehalte separat eingereicht.</t>
  </si>
  <si>
    <t>Restmonomere (betrifft nur DE-UZ 12a)</t>
  </si>
  <si>
    <t xml:space="preserve">Restmonomere sind im Bindemittel enthalten mit: </t>
  </si>
  <si>
    <t>Davon sind folgende Restmonomere spezifizert worden:</t>
  </si>
  <si>
    <t>(bitte auswählen)</t>
  </si>
  <si>
    <t>Die Unterteilung der VOC und SVOC lautet wie folgt:</t>
  </si>
  <si>
    <t>VOC</t>
  </si>
  <si>
    <t>bis</t>
  </si>
  <si>
    <t>Feststoffgehalt [Gew.-%]:</t>
  </si>
  <si>
    <t>Definition gemäß DIN EN ISO 17895 und DIN EN ISO 11890-2.</t>
  </si>
  <si>
    <t>VOC und SVOC</t>
  </si>
  <si>
    <t>DE-UZ 12a - Berechnung</t>
  </si>
  <si>
    <t>DE-UZ 102 - Berechnung</t>
  </si>
  <si>
    <t>Das Produkt enthält keine VOC über 100 ppm pro Substanz im Retentionsbereich von C6 - C16 (Hexan bis Hexadecan).</t>
  </si>
  <si>
    <t>Wir erklären, dass wir diese Daten nicht liefern.</t>
  </si>
  <si>
    <t>Das Produkt enthält keine VOC.</t>
  </si>
  <si>
    <t>Das Produkt enthält VOC über 100 ppm pro Substanz im Retentionsbereich von C6 - C16 (Hexan bis Hexadecan).</t>
  </si>
  <si>
    <t>Hierzu stellen wir dem Lackhersteller oder RAL die Anlage V zur Verfügung.</t>
  </si>
  <si>
    <t>Das Produkt enthält keine SVOC.</t>
  </si>
  <si>
    <t>Dieser SVOC-Anteil wurde mittels Messung mit folgender Prüfmethode bestimmt:</t>
  </si>
  <si>
    <t>Dieser VOC-Anteil wurde mittels Messung mit folgender Prüfmethode bestimmt:</t>
  </si>
  <si>
    <t>Für das oben genannte Produkt und weitere abgefragte Produkte wird eine Liste der VOC-Gehalte separat eingereicht.</t>
  </si>
  <si>
    <t>Das Produkt enthält folgende VOC-Anteile:</t>
  </si>
  <si>
    <t>Definition in Anlehnung an die DIN ISO 16000-6.</t>
  </si>
  <si>
    <t>Marker: C6 = n-Hexan; C16 = n-Hexadecan</t>
  </si>
  <si>
    <t>(Die Auflistung ist im Tabellenblatt  "Weichmacher - Plasticisers, VOC" zu finden.)</t>
  </si>
  <si>
    <t>Geben Sie in Tabelle 1 bitte alle eingestuften Bestandteile an, denen die in Tabellenblatt "H-Sätze - H phrases, TRGS, MAK" genannten H-Sätze zugeordnet sind, unabhängig von der Konzentration.</t>
  </si>
  <si>
    <t>SVHC und Stoffe, die in der MAK-Liste bzw. der TRGS 905 mit den in Tabellenblatt "H-Sätze - H phrases, TRGS, MAK" genannten Kategorien gelistet sind, sind bitte ebenfalls einzutragen.</t>
  </si>
  <si>
    <t>Infos zu den VOC-Definitionen finden Sie in Tabellenblatt "Weichmacher - Plasticisers, VOC".</t>
  </si>
  <si>
    <t>Marker: bis C14 = n-Tetradecan (DIN EN ISO 17895) und C14 = n-Tetradecan; C22 = n-Docosan (DIN EN ISO 11890-2)</t>
  </si>
  <si>
    <t>Retentionsbereich</t>
  </si>
  <si>
    <t>C14 - C22</t>
  </si>
  <si>
    <t>&lt; C6</t>
  </si>
  <si>
    <t>C6 – C16</t>
  </si>
  <si>
    <t>&gt; C16 – C22</t>
  </si>
  <si>
    <t>Vgl. AgBB-Schema.</t>
  </si>
  <si>
    <t>#0089</t>
  </si>
  <si>
    <t>#0090</t>
  </si>
  <si>
    <t>#0091</t>
  </si>
  <si>
    <t>#0092</t>
  </si>
  <si>
    <t>#0093</t>
  </si>
  <si>
    <t>#0094</t>
  </si>
  <si>
    <t>#0095</t>
  </si>
  <si>
    <t>#0096</t>
  </si>
  <si>
    <t>#0097</t>
  </si>
  <si>
    <t>#0098</t>
  </si>
  <si>
    <t>#0099</t>
  </si>
  <si>
    <t>External plasticisers according to VdL-Guideline 01, Edition May 2019</t>
  </si>
  <si>
    <t>Äußere Weichmacher gemäß VdL-Richtlinie 01, Stand Mai 2019</t>
  </si>
  <si>
    <t>Siedepunkt [°C]</t>
  </si>
  <si>
    <t>#0100</t>
  </si>
  <si>
    <t>#0101</t>
  </si>
  <si>
    <t>#0102</t>
  </si>
  <si>
    <t>#0103</t>
  </si>
  <si>
    <t>#0104</t>
  </si>
  <si>
    <t>#0105</t>
  </si>
  <si>
    <t>#0106</t>
  </si>
  <si>
    <t>#0107</t>
  </si>
  <si>
    <t>#0108</t>
  </si>
  <si>
    <t>&gt; C16 - C22</t>
  </si>
  <si>
    <t>&lt; C14</t>
  </si>
  <si>
    <t>&gt; 200°C - ≤ 287°C</t>
  </si>
  <si>
    <t>&gt; 287°C - ≤ 370°C</t>
  </si>
  <si>
    <t xml:space="preserve"> - ≤ 287° C</t>
  </si>
  <si>
    <t xml:space="preserve"> ≤ 252,6 °C</t>
  </si>
  <si>
    <t>&gt; 250°C - ≤ 370 °C</t>
  </si>
  <si>
    <t>VOC and SVOC</t>
  </si>
  <si>
    <t>DE-UZ 12a - calculation</t>
  </si>
  <si>
    <t>DE-UZ 102 - calculation</t>
  </si>
  <si>
    <t>DE-UZ 12a, DE-UZ 113, DE-UZ 123, DE-UZ 198 - emission test</t>
  </si>
  <si>
    <t>DE-UZ 12a, DE-UZ 113, DE-UZ 123, DE-UZ 198 - Emissionsprüfung</t>
  </si>
  <si>
    <t>The subdivision of VOCs and SVOCs is as follows:</t>
  </si>
  <si>
    <t>Group</t>
  </si>
  <si>
    <t>Boiling point [°C]</t>
  </si>
  <si>
    <t>Retention range</t>
  </si>
  <si>
    <t>Definition based on DIN ISO 16000-6.</t>
  </si>
  <si>
    <t>Marker:  C6 = n-Hexane; C16 = n-Hexadecane</t>
  </si>
  <si>
    <t>Cf. AgBB scheme.</t>
  </si>
  <si>
    <t>Definition according to DIN EN ISO 17895 and DIN EN ISO 11890-2.</t>
  </si>
  <si>
    <t>Marker: bis C14 = n-Tetradecane (DIN EN ISO 17895) und C14 = n-Tetradecane; C22 = n-Docosane (DIN EN ISO 11890-2)</t>
  </si>
  <si>
    <t>&lt; 100 µg/m³ or none</t>
  </si>
  <si>
    <t>This attachment applies to the following award criteria:</t>
  </si>
  <si>
    <t>Information on components of the product that belong to specific substance groups.</t>
  </si>
  <si>
    <t>Notes:</t>
  </si>
  <si>
    <t>Constitutional ingredients are substances added to the product as such or as a component of mixtures in order to achieve or</t>
  </si>
  <si>
    <t>This does not include, for example, minimised residual monomers.</t>
  </si>
  <si>
    <t>influence certain product properties as well as those required as chemical decomposition products to achieve the product properties.</t>
  </si>
  <si>
    <t>We confirm that the above product does not contain any other appropriately classified ingredients in addition to those</t>
  </si>
  <si>
    <t>listed in Table 1.</t>
  </si>
  <si>
    <t>Furthermore, we confirm that no preservatives other than those listed in Table 2 are contained.</t>
  </si>
  <si>
    <t>The following preservatives (including formaldehyde-releasing agents) are included:</t>
  </si>
  <si>
    <t>Please continue on spreadsheet "Bestandteile - Ingredients".</t>
  </si>
  <si>
    <t>Information on the ingredients of the product</t>
  </si>
  <si>
    <t>SVHC and substances which are listed in the MAK-list or TRGS 905 with the categories mentioned in table sheet "H-Sätze - H phrases, TRGS, MAK" have to be entered as well.</t>
  </si>
  <si>
    <t>Note: The preservatives contained must be indicated separately in Table 2.</t>
  </si>
  <si>
    <t>Please indicate in Table 1 all classified ingredients to which the H-phrases mentioned in table sheet "H-Sätze - H phrases - TRGS, MAK" are assigned, irrespective of the concentration.</t>
  </si>
  <si>
    <t>For function, please indicate what function the ingredient performs in the product and whether it is a catalyst, impurity, by-product, residual monomer, etc.</t>
  </si>
  <si>
    <t>This information is important to decide if the substance is constitutional* and if the product may still be used.</t>
  </si>
  <si>
    <t>Information on VOCs and SVOCs contained in the product</t>
  </si>
  <si>
    <t>The color codes at the H-phrases are internal evaluation aids for RAL. You can ignore them. In the columns "M-factor", "SVHC", "TRGS 905" and" MAK" please change the entry accordingly if different from the given value.</t>
  </si>
  <si>
    <t>Die Farbcodes bei den H-Sätzen sind interne Bewertungshilfen für RAL. Diese können Sie ignorieren. In den Spalten "M-Faktor", "SVHC", "TRGS 905" und "MAK" ändern Sie bitte den Eintrag entsprechend, wenn abweichend vom vorgegebenen Wert.</t>
  </si>
  <si>
    <t>(Note: Please ask the manufacturer for the necessary data.</t>
  </si>
  <si>
    <t>You are welcome to forward the document for this purpose).</t>
  </si>
  <si>
    <t>The most recent version of the EU safety data sheet of the named product will be submitted and</t>
  </si>
  <si>
    <t>is not older than 2 years (SDS according to REACH regulation, classification according to CLP regulation).</t>
  </si>
  <si>
    <t>We confirm that we meet the deviating criteria (e.g. consideration limits or substance exclusions)</t>
  </si>
  <si>
    <t>of the Blue Angels for the following information and not the limit values from the REACH</t>
  </si>
  <si>
    <t>or CLP Regulation.</t>
  </si>
  <si>
    <t>Declaration of the</t>
  </si>
  <si>
    <t>LCI value</t>
  </si>
  <si>
    <t>MAK list</t>
  </si>
  <si>
    <t>#0109</t>
  </si>
  <si>
    <t>#0110</t>
  </si>
  <si>
    <t>#0111</t>
  </si>
  <si>
    <t>#0112</t>
  </si>
  <si>
    <t>#0113</t>
  </si>
  <si>
    <t>#0114</t>
  </si>
  <si>
    <t>#0115</t>
  </si>
  <si>
    <t>#0116</t>
  </si>
  <si>
    <t>carcinogenic category 1</t>
  </si>
  <si>
    <t>carcinogenic category 2</t>
  </si>
  <si>
    <t>carcinogenic category 3A</t>
  </si>
  <si>
    <t>carcinogenic category 3B</t>
  </si>
  <si>
    <t>germ cell mutagenic category 1</t>
  </si>
  <si>
    <t>germ cell mutagenic category 2</t>
  </si>
  <si>
    <t>germ cell mutagen category 3A</t>
  </si>
  <si>
    <t>germ cell mutagen category 3B</t>
  </si>
  <si>
    <t>"pregnancy" group A</t>
  </si>
  <si>
    <t>"pregnancy" group B</t>
  </si>
  <si>
    <t>"Schwangerschaft" Gruppe A</t>
  </si>
  <si>
    <t>"Schwangerschaft" Gruppe B</t>
  </si>
  <si>
    <t>Gefahren-
klassen</t>
  </si>
  <si>
    <t>Hazard
classes</t>
  </si>
  <si>
    <t>H phrases</t>
  </si>
  <si>
    <t>Relevant H phrases</t>
  </si>
  <si>
    <t>#0117</t>
  </si>
  <si>
    <t>#0118</t>
  </si>
  <si>
    <t>#0119</t>
  </si>
  <si>
    <t>#0120</t>
  </si>
  <si>
    <t>#0121</t>
  </si>
  <si>
    <t>#0122</t>
  </si>
  <si>
    <t>#0123</t>
  </si>
  <si>
    <t>#0124</t>
  </si>
  <si>
    <t>#0125</t>
  </si>
  <si>
    <t>#0126</t>
  </si>
  <si>
    <t>#0127</t>
  </si>
  <si>
    <t>#0128</t>
  </si>
  <si>
    <t>#0129</t>
  </si>
  <si>
    <t>#0130</t>
  </si>
  <si>
    <t>#0131</t>
  </si>
  <si>
    <t>#0132</t>
  </si>
  <si>
    <t>#0133</t>
  </si>
  <si>
    <t>#0134</t>
  </si>
  <si>
    <t>#0135</t>
  </si>
  <si>
    <t>#0136</t>
  </si>
  <si>
    <t>#0137</t>
  </si>
  <si>
    <t>#0138</t>
  </si>
  <si>
    <t>#0139</t>
  </si>
  <si>
    <t>#0140</t>
  </si>
  <si>
    <t>Please fill in the applicable fields.</t>
  </si>
  <si>
    <t>If you wish to limit yourself to certain award criteria, please note the award criteria in brackets.</t>
  </si>
  <si>
    <t>Alkylphenol ethoxylates</t>
  </si>
  <si>
    <t>Products containing alkylphenol ethoxylates (APEO) and/or their derivatives are not added.</t>
  </si>
  <si>
    <t>Perfluorinated and polyfluorinated chemicals</t>
  </si>
  <si>
    <t>Per- and polyfluorinated chemicals (PFCs) are not used.</t>
  </si>
  <si>
    <t>Examples: Fluorocarbon resins and dispersions, perfluorinated surfactants, perfluorinated sulfonic and carboxylic acids, PFC-treated precursors</t>
  </si>
  <si>
    <t>Pigments</t>
  </si>
  <si>
    <t>Pigments containing lead compounds are not added.</t>
  </si>
  <si>
    <t>Process-related, technically unavoidable lead impurities are contained with:</t>
  </si>
  <si>
    <t>und Stoffe, die zu diesen abgebaut werden können.</t>
  </si>
  <si>
    <t>and substances that can be degraded to these.</t>
  </si>
  <si>
    <t>Plasticiser</t>
  </si>
  <si>
    <t>Plasticisers from the group of phthalates are not added to the product.</t>
  </si>
  <si>
    <t>Plasticisers from the group of organophosphates are not added to the product.</t>
  </si>
  <si>
    <t>Plasticisers according to VdL Guideline 01 are not added to the product.</t>
  </si>
  <si>
    <t>Only applies to DE-UZ 113:</t>
  </si>
  <si>
    <t>If all award criteria are to be fulfilled, all points must be filled in here.</t>
  </si>
  <si>
    <t xml:space="preserve">and do not exceed a certain quantity. </t>
  </si>
  <si>
    <t>Please list them here:</t>
  </si>
  <si>
    <t>(The listing can be found in the table sheet "Weichmacher - Plasticisers, VOC").</t>
  </si>
  <si>
    <t>Viscosity-regulating substances may be included, provided they are not labelled according to the CLP Regulation</t>
  </si>
  <si>
    <t>#0141</t>
  </si>
  <si>
    <t>#0142</t>
  </si>
  <si>
    <t>#0143</t>
  </si>
  <si>
    <t>#0144</t>
  </si>
  <si>
    <t>#0145</t>
  </si>
  <si>
    <t>#0146</t>
  </si>
  <si>
    <t>#0147</t>
  </si>
  <si>
    <t>#0148</t>
  </si>
  <si>
    <t>#0149</t>
  </si>
  <si>
    <t>Oximes and precursors containing oximes are not added.</t>
  </si>
  <si>
    <t>Siccatives containing lead compounds are not added.</t>
  </si>
  <si>
    <t xml:space="preserve">Residual monomers are contained in the binder with: </t>
  </si>
  <si>
    <t>Of these, the following residual monomers have been specified:</t>
  </si>
  <si>
    <t>Oximes (only applies to DE-UZ 12a)</t>
  </si>
  <si>
    <t>Siccatives (only applies to DE-UZ 12a)</t>
  </si>
  <si>
    <t>Residual monomers (only applies to DE-UZ 12a).</t>
  </si>
  <si>
    <t>% (w/w)</t>
  </si>
  <si>
    <t>#0150</t>
  </si>
  <si>
    <t>#0151</t>
  </si>
  <si>
    <t>#0152</t>
  </si>
  <si>
    <t>#0153</t>
  </si>
  <si>
    <t>#0154</t>
  </si>
  <si>
    <t>#0155</t>
  </si>
  <si>
    <t>#0156</t>
  </si>
  <si>
    <t>#0157</t>
  </si>
  <si>
    <t>#0158</t>
  </si>
  <si>
    <t>#0159</t>
  </si>
  <si>
    <t>#0160</t>
  </si>
  <si>
    <t>#0161</t>
  </si>
  <si>
    <t>#0162</t>
  </si>
  <si>
    <t>Polymer dispersions, resins or comparable components do not contain oxidisable fatty acids or fatty acid esters as constitutional components.</t>
  </si>
  <si>
    <t>Examples: Tall oils, oleic acid, etc.</t>
  </si>
  <si>
    <t>The following organotin compound is used as catalyst for cross-linking reactions of SMP products:</t>
  </si>
  <si>
    <t>Di-n-octyl tin dilaurate (CAS No.: 3648-18-8).</t>
  </si>
  <si>
    <t>Di-n-octyl-tin-dimaleinate</t>
  </si>
  <si>
    <t>Flame retardants are not used.</t>
  </si>
  <si>
    <t>Halogenated organic compounds are not used.</t>
  </si>
  <si>
    <t>PVC is not added.</t>
  </si>
  <si>
    <t>Oxidisable fatty acids and fatty acid esters (only applies to DE-UZ 113)</t>
  </si>
  <si>
    <t>Organotin compounds (only applies to DE-UZ 113 and DE-UZ 123)</t>
  </si>
  <si>
    <t>Flame retardants (only applies to DE-UZ 225)</t>
  </si>
  <si>
    <t>Halogenated organic compounds (only applies to DE-UZ 225)</t>
  </si>
  <si>
    <t>PVC (only applies to DE-UZ 225)</t>
  </si>
  <si>
    <t>CAS No.</t>
  </si>
  <si>
    <t>EC No.</t>
  </si>
  <si>
    <t>(please select)</t>
  </si>
  <si>
    <t>Please continue on spreadsheet "Stoffgruppen - Substance groups".</t>
  </si>
  <si>
    <t>Bitte fahren Sie auf Tabellenblatt "VOC - SVOC" fort.</t>
  </si>
  <si>
    <t>Please continue on spreadsheet "VOC - SVOC".</t>
  </si>
  <si>
    <t>Bitte geben Sie zur Definition des Bereichs entweder die Markersubstanzen (z.B. n-Tetradecan), den Retentionsbereich (z.B. C16) oder die Siedepunte in °C an.</t>
  </si>
  <si>
    <t>Das Produkt enthält folgende SVOC-Anteile:</t>
  </si>
  <si>
    <t>WICHTIG: Definition VOC und SVOC gemäß DIN ISO 16000-6: VOC im Retentionsbereich C6 - C16 und SVOC &gt; C16 - C22!</t>
  </si>
  <si>
    <t>Flüchtige organische Verbindungen (VOC) - Betrifft nur DE-UZ 12a</t>
  </si>
  <si>
    <t>Flüchtige organische Verbindungen (VOC) - allgemein</t>
  </si>
  <si>
    <t>Bei Funktion geben Sie bitte an, welche Funktion der Bestandteil im Produkt erfüllt, und ob es sich dabei um einen Katalysator, eine Verunreinigung, ein Nebenprodukt, ein Restmonomer, übriggebliebenes Synthese-Ausgangsmaterial usw. handelt.</t>
  </si>
  <si>
    <t>Hinweis: Sofern die Messung nicht den gesamten Retentionsbereich von C6 - C16 (Hexan bis Hexadecan) umfasst, müssen für den fehlenden Bereich weitere Angaben</t>
  </si>
  <si>
    <t>gemacht werden. Da eine VOC-Messung keine weitere Unterteilung zulässt, wird der angegebene Wert als "worst-case Betrachtung" der Gruppe VOC D zugerechnet.</t>
  </si>
  <si>
    <t>Dieser VOC-Anteil wurde berechnet für den Bereich von</t>
  </si>
  <si>
    <t>Schwerflüchtige organische Verbindungen (SVOC)</t>
  </si>
  <si>
    <t>Dieser SVOC-Anteil wurde berechnet für den Bereich von</t>
  </si>
  <si>
    <t>enthaltenen VOC vorgenommen wird. Ohne Angaben bei Punkt "Flüchtige organische Verbindungen (VOC) - Betrifft nur DE-UZ 12a"</t>
  </si>
  <si>
    <t>kann der Lackhersteller die Anforderungen aus Kapitel 3.1 dieser Kriterien nicht erfüllen.</t>
  </si>
  <si>
    <t>#0163</t>
  </si>
  <si>
    <t>#0164</t>
  </si>
  <si>
    <t>#0165</t>
  </si>
  <si>
    <t>#0166</t>
  </si>
  <si>
    <t>#0167</t>
  </si>
  <si>
    <t>#0168</t>
  </si>
  <si>
    <t>#0169</t>
  </si>
  <si>
    <t>#0170</t>
  </si>
  <si>
    <t>#0171</t>
  </si>
  <si>
    <t>#0172</t>
  </si>
  <si>
    <t>#0173</t>
  </si>
  <si>
    <t>#0174</t>
  </si>
  <si>
    <t>#0175</t>
  </si>
  <si>
    <t>#0176</t>
  </si>
  <si>
    <t>#0177</t>
  </si>
  <si>
    <t>#0178</t>
  </si>
  <si>
    <t>#0179</t>
  </si>
  <si>
    <t>#0180</t>
  </si>
  <si>
    <t>#0181</t>
  </si>
  <si>
    <t>#0182</t>
  </si>
  <si>
    <t>#0183</t>
  </si>
  <si>
    <t>#0184</t>
  </si>
  <si>
    <t>#0185</t>
  </si>
  <si>
    <t>#0186</t>
  </si>
  <si>
    <t>#0187</t>
  </si>
  <si>
    <t>#0188</t>
  </si>
  <si>
    <t>#0189</t>
  </si>
  <si>
    <t>#0190</t>
  </si>
  <si>
    <t>#0191</t>
  </si>
  <si>
    <t>#0192</t>
  </si>
  <si>
    <t>#0193</t>
  </si>
  <si>
    <t>#0194</t>
  </si>
  <si>
    <t>#0195</t>
  </si>
  <si>
    <t>#0196</t>
  </si>
  <si>
    <t>#0197</t>
  </si>
  <si>
    <t>#0198</t>
  </si>
  <si>
    <t>#0199</t>
  </si>
  <si>
    <t>#0200</t>
  </si>
  <si>
    <t>Hinweis: Für DE-UZ 12a werden die Angaben zu den VOC zwingend benötigt, da hier unter anderem eine Kalkulation der im Endprodukt</t>
  </si>
  <si>
    <t>Note: For DE-UZ 12a, the information on VOCs is mandatory, as a calculation of the VOCs contained in the end product is carried out here,</t>
  </si>
  <si>
    <t>among other things. Without information at item "Volatile organic compounds (VOC) - only applies to DE-UZ 12a" the paint manufacturer</t>
  </si>
  <si>
    <t>cannot fulfil the requirements of chapter 3.1 of these criteria.</t>
  </si>
  <si>
    <t>Volatile organic compounds (VOC) - general</t>
  </si>
  <si>
    <t>The product does not contain any VOC.</t>
  </si>
  <si>
    <t>The product contains the following VOC content:</t>
  </si>
  <si>
    <t>This VOC content was determined by measurement using the following test method:</t>
  </si>
  <si>
    <t>to</t>
  </si>
  <si>
    <t>Please specify either the marker substances (e.g. n-tetradecane), the retention range (e.g. C16) or the boiling point in °C to define the range.</t>
  </si>
  <si>
    <t>We declare that we do not supply this data.</t>
  </si>
  <si>
    <t>Volatile organic compounds (VOC) - only applies for DE-UZ 12a</t>
  </si>
  <si>
    <t>Information on the VOC definitions can be found in the spreadsheet "Weichmacher - Plasticisers, VOC".</t>
  </si>
  <si>
    <t>IMPORTANT: Definition of VOC and SVOC according to DIN ISO 16000-6: VOC in the retention range C6 - C16 and SVOC &gt; C16 - C22!</t>
  </si>
  <si>
    <t>The product does not contain VOC above 100 ppm per substance in the retention range of C6 - C16 (hexane to hexadecane).</t>
  </si>
  <si>
    <t>The product contains VOC above 100 ppm per substance in the retention range of C6 - C16 (hexane to hexadecane).</t>
  </si>
  <si>
    <t>For this purpose, we provide the paint manufacturer or RAL with Annex V.</t>
  </si>
  <si>
    <t xml:space="preserve">Note: If the measurement does not cover the entire retention range of C6 - C16 (hexane to hexadecane), further information must be provided for the missing range. </t>
  </si>
  <si>
    <t>Since a VOC measurement does not allow any further subdivision, the specified value is assigned to the VOC D group as a "worst-case consideration".</t>
  </si>
  <si>
    <t>A list of the VOC contents is submitted separately for the above-mentioned product and other products queried.</t>
  </si>
  <si>
    <t>Volatile organic compounds (SVOC)</t>
  </si>
  <si>
    <t>The product does not contain any SVOC.</t>
  </si>
  <si>
    <t>The product contains the following SVOC content:</t>
  </si>
  <si>
    <t>This SVOC content was determined by measurement using the following test method:</t>
  </si>
  <si>
    <t>For the above mentioned product and further requested products a list of SVOC contents is submitted separately.</t>
  </si>
  <si>
    <t>This VOC content was calculated for the range from</t>
  </si>
  <si>
    <t>This SVOC content was calculated for the range from</t>
  </si>
  <si>
    <t>The measurement covers the range from</t>
  </si>
  <si>
    <t>Die Messung umfasst den Bereich von</t>
  </si>
  <si>
    <t>Change Log</t>
  </si>
  <si>
    <t>Deutsch</t>
  </si>
  <si>
    <t>English</t>
  </si>
  <si>
    <t>Erstveröffentlichung</t>
  </si>
  <si>
    <t>First published</t>
  </si>
  <si>
    <t>Wenn die Herstellererklärung nur für bestimmte Vergabekriterien gelten soll,</t>
  </si>
  <si>
    <t>entfernen Sie bitte die entsprechenden Kreuze.</t>
  </si>
  <si>
    <t>If the manufacturer's declaration is to apply only to specific basic award criteria,</t>
  </si>
  <si>
    <t>please remove the appropriate check marks.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</si>
</sst>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\-##\-#"/>
  </numFmts>
  <fonts count="38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4"/>
      <color theme="1"/>
      <name val="Verdana"/>
      <family val="2"/>
    </font>
    <font>
      <sz val="10"/>
      <color rgb="FFFF0000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CC0000"/>
      <name val="Verdana"/>
      <family val="2"/>
    </font>
    <font>
      <sz val="8"/>
      <color rgb="FF008000"/>
      <name val="Verdana"/>
      <family val="2"/>
    </font>
    <font>
      <sz val="8"/>
      <color rgb="FFCC00CC"/>
      <name val="Verdana"/>
      <family val="2"/>
    </font>
    <font>
      <sz val="8"/>
      <color rgb="FF3333FF"/>
      <name val="Verdana"/>
      <family val="2"/>
    </font>
    <font>
      <sz val="8"/>
      <color rgb="FF006699"/>
      <name val="Verdana"/>
      <family val="2"/>
    </font>
    <font>
      <sz val="8"/>
      <color rgb="FFCC990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Verdana"/>
      <family val="2"/>
    </font>
    <font>
      <vertAlign val="subscript"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Verdana"/>
      <family val="2"/>
    </font>
    <font>
      <i/>
      <sz val="8"/>
      <name val="Verdana"/>
      <family val="2"/>
    </font>
    <font>
      <i/>
      <sz val="10"/>
      <color rgb="FFCC0000"/>
      <name val="Verdana"/>
      <family val="2"/>
    </font>
    <font>
      <sz val="10"/>
      <color rgb="FFCC0000"/>
      <name val="Verdana"/>
      <family val="2"/>
    </font>
    <font>
      <b/>
      <i/>
      <sz val="10"/>
      <color rgb="FFCC0000"/>
      <name val="Verdana"/>
      <family val="2"/>
    </font>
    <font>
      <sz val="10"/>
      <color theme="1"/>
      <name val="Webdings"/>
      <family val="1"/>
      <charset val="2"/>
    </font>
    <font>
      <sz val="8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F1F7FD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2" fillId="0" borderId="0" xfId="0" applyFont="1" applyFill="1" applyBorder="1"/>
    <xf numFmtId="0" fontId="13" fillId="0" borderId="0" xfId="0" applyFont="1"/>
    <xf numFmtId="0" fontId="13" fillId="0" borderId="0" xfId="0" applyFont="1" applyFill="1" applyBorder="1"/>
    <xf numFmtId="0" fontId="13" fillId="0" borderId="0" xfId="0" applyFont="1" applyFill="1"/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5" borderId="1" xfId="0" applyNumberFormat="1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7" borderId="0" xfId="0" applyFont="1" applyFill="1" applyAlignment="1" applyProtection="1">
      <alignment vertical="center"/>
    </xf>
    <xf numFmtId="0" fontId="22" fillId="7" borderId="0" xfId="0" applyFont="1" applyFill="1" applyAlignment="1" applyProtection="1">
      <alignment horizontal="right" vertical="center"/>
    </xf>
    <xf numFmtId="0" fontId="22" fillId="7" borderId="0" xfId="0" quotePrefix="1" applyFont="1" applyFill="1" applyAlignment="1" applyProtection="1">
      <alignment vertical="center"/>
    </xf>
    <xf numFmtId="0" fontId="25" fillId="7" borderId="0" xfId="1" applyFont="1" applyFill="1" applyAlignment="1" applyProtection="1">
      <alignment vertical="center"/>
    </xf>
    <xf numFmtId="0" fontId="22" fillId="7" borderId="0" xfId="0" applyFont="1" applyFill="1" applyAlignment="1" applyProtection="1">
      <alignment horizontal="center" vertical="center"/>
    </xf>
    <xf numFmtId="0" fontId="22" fillId="5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>
      <alignment horizontal="left" vertical="center"/>
    </xf>
    <xf numFmtId="164" fontId="15" fillId="2" borderId="1" xfId="0" applyNumberFormat="1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28" fillId="2" borderId="0" xfId="0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15" fillId="2" borderId="1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5" fillId="2" borderId="0" xfId="0" applyFont="1" applyFill="1" applyBorder="1"/>
    <xf numFmtId="0" fontId="3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31" fillId="2" borderId="0" xfId="0" applyFont="1" applyFill="1" applyBorder="1" applyAlignment="1">
      <alignment vertical="center"/>
    </xf>
    <xf numFmtId="0" fontId="22" fillId="5" borderId="1" xfId="0" applyFont="1" applyFill="1" applyBorder="1" applyAlignment="1" applyProtection="1">
      <alignment vertical="center"/>
      <protection locked="0"/>
    </xf>
    <xf numFmtId="164" fontId="1" fillId="2" borderId="0" xfId="0" applyNumberFormat="1" applyFont="1" applyFill="1" applyBorder="1" applyAlignment="1" applyProtection="1">
      <alignment horizontal="left" vertical="center"/>
    </xf>
    <xf numFmtId="164" fontId="3" fillId="2" borderId="0" xfId="0" applyNumberFormat="1" applyFont="1" applyFill="1" applyBorder="1" applyAlignment="1" applyProtection="1">
      <alignment horizontal="left" vertical="center"/>
    </xf>
    <xf numFmtId="164" fontId="32" fillId="2" borderId="0" xfId="0" applyNumberFormat="1" applyFont="1" applyFill="1" applyBorder="1" applyAlignment="1" applyProtection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14" fontId="22" fillId="2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1" fillId="5" borderId="2" xfId="0" applyFont="1" applyFill="1" applyBorder="1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vertical="center"/>
      <protection locked="0"/>
    </xf>
    <xf numFmtId="0" fontId="1" fillId="5" borderId="4" xfId="0" applyFont="1" applyFill="1" applyBorder="1" applyAlignment="1" applyProtection="1">
      <alignment vertical="center"/>
      <protection locked="0"/>
    </xf>
    <xf numFmtId="0" fontId="3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5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/>
    </xf>
    <xf numFmtId="0" fontId="3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center" vertical="center"/>
    </xf>
    <xf numFmtId="0" fontId="33" fillId="2" borderId="0" xfId="0" applyFont="1" applyFill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/>
    </xf>
    <xf numFmtId="164" fontId="15" fillId="2" borderId="0" xfId="0" applyNumberFormat="1" applyFont="1" applyFill="1" applyBorder="1" applyAlignment="1" applyProtection="1">
      <alignment horizontal="left" vertical="center"/>
    </xf>
    <xf numFmtId="0" fontId="35" fillId="2" borderId="0" xfId="0" applyFont="1" applyFill="1" applyAlignment="1" applyProtection="1">
      <alignment horizontal="left" vertical="center"/>
    </xf>
    <xf numFmtId="0" fontId="36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center" vertical="center"/>
    </xf>
    <xf numFmtId="0" fontId="31" fillId="2" borderId="0" xfId="0" applyFont="1" applyFill="1" applyBorder="1" applyAlignment="1" applyProtection="1">
      <alignment horizontal="left" vertical="center"/>
    </xf>
    <xf numFmtId="0" fontId="22" fillId="2" borderId="0" xfId="0" applyFont="1" applyFill="1" applyAlignment="1" applyProtection="1">
      <alignment horizontal="left" vertical="center"/>
    </xf>
    <xf numFmtId="0" fontId="30" fillId="2" borderId="0" xfId="0" applyFont="1" applyFill="1" applyBorder="1" applyAlignment="1" applyProtection="1">
      <alignment horizontal="left" vertical="center"/>
    </xf>
    <xf numFmtId="0" fontId="22" fillId="2" borderId="0" xfId="0" applyFont="1" applyFill="1" applyBorder="1" applyAlignment="1" applyProtection="1">
      <alignment horizontal="left" vertical="center"/>
    </xf>
    <xf numFmtId="0" fontId="22" fillId="2" borderId="0" xfId="0" applyFont="1" applyFill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1" fillId="5" borderId="11" xfId="0" applyFont="1" applyFill="1" applyBorder="1" applyAlignment="1" applyProtection="1">
      <alignment horizontal="left" vertical="top" wrapText="1"/>
      <protection locked="0"/>
    </xf>
    <xf numFmtId="0" fontId="1" fillId="5" borderId="5" xfId="0" applyFont="1" applyFill="1" applyBorder="1" applyAlignment="1" applyProtection="1">
      <alignment horizontal="left" vertical="top" wrapText="1"/>
      <protection locked="0"/>
    </xf>
    <xf numFmtId="0" fontId="1" fillId="5" borderId="12" xfId="0" applyFont="1" applyFill="1" applyBorder="1" applyAlignment="1" applyProtection="1">
      <alignment horizontal="left" vertical="top" wrapText="1"/>
      <protection locked="0"/>
    </xf>
    <xf numFmtId="0" fontId="22" fillId="5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45">
    <dxf>
      <fill>
        <patternFill>
          <bgColor rgb="FFFFCCFF"/>
        </patternFill>
      </fill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3333FF"/>
      </font>
      <fill>
        <patternFill>
          <bgColor rgb="FFCCECFF"/>
        </patternFill>
      </fill>
    </dxf>
    <dxf>
      <font>
        <b/>
        <i val="0"/>
        <color rgb="FF006699"/>
      </font>
      <fill>
        <patternFill>
          <bgColor rgb="FFCCFFFF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ill>
        <patternFill>
          <bgColor rgb="FFFFCCFF"/>
        </patternFill>
      </fill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ont>
        <b/>
        <i val="0"/>
        <color rgb="FFCC0000"/>
      </font>
    </dxf>
    <dxf>
      <font>
        <b/>
        <i val="0"/>
        <color rgb="FFCC0000"/>
      </font>
    </dxf>
  </dxfs>
  <tableStyles count="0" defaultTableStyle="TableStyleMedium2" defaultPivotStyle="PivotStyleLight16"/>
  <colors>
    <mruColors>
      <color rgb="FFFF3399"/>
      <color rgb="FFCC0000"/>
      <color rgb="FFFFFFCC"/>
      <color rgb="FFCC9900"/>
      <color rgb="FF006699"/>
      <color rgb="FFCCFFFF"/>
      <color rgb="FFCCECFF"/>
      <color rgb="FF3333FF"/>
      <color rgb="FFFFCC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80010</xdr:colOff>
      <xdr:row>1</xdr:row>
      <xdr:rowOff>0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58E0275D-F75E-4D9D-8AC9-55EB3D425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" y="480060"/>
          <a:ext cx="876616" cy="560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weltzeichen@ral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CBA4C-792F-4C28-A888-EE699545B93F}">
  <dimension ref="A1:X117"/>
  <sheetViews>
    <sheetView tabSelected="1" zoomScaleNormal="100" zoomScalePageLayoutView="75" workbookViewId="0">
      <selection activeCell="F2" sqref="F2"/>
    </sheetView>
  </sheetViews>
  <sheetFormatPr baseColWidth="10" defaultRowHeight="15" customHeight="1" x14ac:dyDescent="0.25"/>
  <cols>
    <col min="1" max="1" width="1.42578125" style="1" customWidth="1"/>
    <col min="2" max="2" width="3.140625" style="3" customWidth="1"/>
    <col min="3" max="3" width="1.5703125" style="3" customWidth="1"/>
    <col min="4" max="4" width="40.140625" style="1" customWidth="1"/>
    <col min="5" max="5" width="68.140625" style="1" customWidth="1"/>
    <col min="6" max="6" width="15.140625" style="1" bestFit="1" customWidth="1"/>
    <col min="7" max="7" width="1.42578125" style="1" customWidth="1"/>
    <col min="8" max="16384" width="11.42578125" style="1"/>
  </cols>
  <sheetData>
    <row r="1" spans="1:7" ht="7.5" customHeight="1" x14ac:dyDescent="0.25">
      <c r="B1" s="4"/>
      <c r="C1" s="4"/>
      <c r="D1" s="2"/>
      <c r="E1" s="6"/>
      <c r="F1" s="11"/>
      <c r="G1" s="2"/>
    </row>
    <row r="2" spans="1:7" ht="15" customHeight="1" x14ac:dyDescent="0.25">
      <c r="B2" s="4"/>
      <c r="C2" s="4"/>
      <c r="D2" s="2"/>
      <c r="E2" s="6" t="s">
        <v>20</v>
      </c>
      <c r="F2" s="83" t="s">
        <v>21</v>
      </c>
      <c r="G2" s="2"/>
    </row>
    <row r="3" spans="1:7" ht="15" customHeight="1" x14ac:dyDescent="0.25">
      <c r="B3" s="4"/>
      <c r="C3" s="4"/>
      <c r="D3" s="2"/>
      <c r="E3" s="6"/>
      <c r="F3" s="11"/>
      <c r="G3" s="2"/>
    </row>
    <row r="4" spans="1:7" ht="15" customHeight="1" x14ac:dyDescent="0.25">
      <c r="B4" s="4"/>
      <c r="C4" s="4"/>
      <c r="D4" s="2"/>
      <c r="E4" s="6" t="str">
        <f>VLOOKUP("#0001",translation,code,FALSE)</f>
        <v>Letzte Aktualisierung:</v>
      </c>
      <c r="F4" s="12">
        <f>'Change Log'!$B$5</f>
        <v>44928</v>
      </c>
      <c r="G4" s="2"/>
    </row>
    <row r="5" spans="1:7" ht="15" customHeight="1" x14ac:dyDescent="0.25">
      <c r="B5" s="4"/>
      <c r="C5" s="4"/>
      <c r="D5" s="2"/>
      <c r="E5" s="2"/>
      <c r="F5" s="2"/>
      <c r="G5" s="2"/>
    </row>
    <row r="6" spans="1:7" ht="7.5" customHeight="1" x14ac:dyDescent="0.25">
      <c r="A6" s="15"/>
      <c r="B6" s="16"/>
      <c r="C6" s="16"/>
      <c r="D6" s="17"/>
      <c r="E6" s="17"/>
      <c r="F6" s="17"/>
      <c r="G6" s="17"/>
    </row>
    <row r="7" spans="1:7" ht="15" customHeight="1" x14ac:dyDescent="0.25">
      <c r="A7" s="15"/>
      <c r="B7" s="18"/>
      <c r="C7" s="18"/>
      <c r="D7" s="13" t="str">
        <f>VLOOKUP("#0002",translation,code,FALSE)</f>
        <v>Fragebogen zu den verwendeten Chemikalien - Anlage R</v>
      </c>
      <c r="E7" s="14"/>
      <c r="F7" s="17"/>
      <c r="G7" s="17"/>
    </row>
    <row r="8" spans="1:7" ht="15" customHeight="1" x14ac:dyDescent="0.25">
      <c r="A8" s="15"/>
      <c r="B8" s="18"/>
      <c r="C8" s="18"/>
      <c r="D8" s="13"/>
      <c r="E8" s="9"/>
      <c r="F8" s="17"/>
      <c r="G8" s="17"/>
    </row>
    <row r="9" spans="1:7" ht="15" customHeight="1" x14ac:dyDescent="0.25">
      <c r="A9" s="15"/>
      <c r="B9" s="18"/>
      <c r="C9" s="18"/>
      <c r="D9" s="10" t="str">
        <f>VLOOKUP("#0003",translation,code,FALSE)</f>
        <v>DE-UZ 12a - Ausgabe Januar 2019</v>
      </c>
      <c r="E9" s="9" t="str">
        <f>VLOOKUP("#0008",translation,code,FALSE)</f>
        <v>Emissions- und schadstoffarme Lacke</v>
      </c>
      <c r="F9" s="17"/>
      <c r="G9" s="17"/>
    </row>
    <row r="10" spans="1:7" ht="15" customHeight="1" x14ac:dyDescent="0.25">
      <c r="A10" s="15"/>
      <c r="B10" s="18"/>
      <c r="C10" s="18"/>
      <c r="D10" s="10" t="str">
        <f>VLOOKUP("#0073",translation,code,FALSE)</f>
        <v>DE-UZ 102 - Ausgabe Januar 2019</v>
      </c>
      <c r="E10" s="9" t="str">
        <f>VLOOKUP("#0074",translation,code,FALSE)</f>
        <v>Emissionsarme Innenwandfarben</v>
      </c>
      <c r="F10" s="17"/>
      <c r="G10" s="17"/>
    </row>
    <row r="11" spans="1:7" ht="15" customHeight="1" x14ac:dyDescent="0.25">
      <c r="A11" s="15"/>
      <c r="B11" s="18"/>
      <c r="C11" s="18"/>
      <c r="D11" s="10" t="str">
        <f>VLOOKUP("#0004",translation,code,FALSE)</f>
        <v>DE-UZ 113 - Ausgabe Januar 2019</v>
      </c>
      <c r="E11" s="9" t="str">
        <f>VLOOKUP("#0009",translation,code,FALSE)</f>
        <v>Emissionsarme Bodenbelagsklebstoffe und andere Verlegewerkstoffe</v>
      </c>
      <c r="F11" s="17"/>
      <c r="G11" s="17"/>
    </row>
    <row r="12" spans="1:7" ht="15" customHeight="1" x14ac:dyDescent="0.25">
      <c r="A12" s="15"/>
      <c r="B12" s="18"/>
      <c r="C12" s="18"/>
      <c r="D12" s="10" t="str">
        <f>VLOOKUP("#0005",translation,code,FALSE)</f>
        <v>DE-UZ 123 - Ausgabe Januar 2019</v>
      </c>
      <c r="E12" s="9" t="str">
        <f>VLOOKUP("#0010",translation,code,FALSE)</f>
        <v>Emissionsarme Dichtstoffe für den Innenraum</v>
      </c>
      <c r="F12" s="17"/>
      <c r="G12" s="17"/>
    </row>
    <row r="13" spans="1:7" ht="15" customHeight="1" x14ac:dyDescent="0.25">
      <c r="A13" s="15"/>
      <c r="B13" s="18"/>
      <c r="C13" s="18"/>
      <c r="D13" s="10" t="str">
        <f>VLOOKUP("#0006",translation,code,FALSE)</f>
        <v>DE-UZ 198 - Ausgabe Januar 2019</v>
      </c>
      <c r="E13" s="9" t="str">
        <f>VLOOKUP("#0011",translation,code,FALSE)</f>
        <v>Emissionsarme Putze für den Innenraum</v>
      </c>
      <c r="F13" s="17"/>
      <c r="G13" s="17"/>
    </row>
    <row r="14" spans="1:7" ht="15" customHeight="1" x14ac:dyDescent="0.25">
      <c r="A14" s="15"/>
      <c r="B14" s="18"/>
      <c r="C14" s="18"/>
      <c r="D14" s="10" t="str">
        <f>VLOOKUP("#0007",translation,code,FALSE)</f>
        <v>DE-UZ 225 - Ausgabe Juli 2022</v>
      </c>
      <c r="E14" s="9" t="str">
        <f>VLOOKUP("#0012",translation,code,FALSE)</f>
        <v>Schadstoffarme Fassadenfarben</v>
      </c>
      <c r="F14" s="17"/>
      <c r="G14" s="17"/>
    </row>
    <row r="15" spans="1:7" ht="7.5" customHeight="1" x14ac:dyDescent="0.25">
      <c r="A15" s="15"/>
      <c r="B15" s="18"/>
      <c r="C15" s="18"/>
      <c r="D15" s="10"/>
      <c r="E15" s="9"/>
      <c r="F15" s="17"/>
      <c r="G15" s="17"/>
    </row>
    <row r="16" spans="1:7" ht="15" customHeight="1" x14ac:dyDescent="0.25">
      <c r="B16" s="4"/>
      <c r="C16" s="4"/>
      <c r="D16" s="2"/>
      <c r="E16" s="2"/>
      <c r="F16" s="2"/>
      <c r="G16" s="2"/>
    </row>
    <row r="17" spans="2:7" ht="15" customHeight="1" x14ac:dyDescent="0.25">
      <c r="B17" s="4"/>
      <c r="C17" s="4"/>
      <c r="D17" s="8" t="str">
        <f>VLOOKUP("#0013",translation,code,FALSE)</f>
        <v>Angaben zum Unternehmen</v>
      </c>
      <c r="E17" s="5"/>
      <c r="F17" s="4"/>
      <c r="G17" s="2"/>
    </row>
    <row r="18" spans="2:7" ht="15" customHeight="1" x14ac:dyDescent="0.25">
      <c r="B18" s="4"/>
      <c r="C18" s="4"/>
      <c r="D18" s="2"/>
      <c r="E18" s="2"/>
      <c r="F18" s="2"/>
      <c r="G18" s="2"/>
    </row>
    <row r="19" spans="2:7" ht="15" customHeight="1" x14ac:dyDescent="0.25">
      <c r="B19" s="4"/>
      <c r="C19" s="4"/>
      <c r="D19" s="5" t="str">
        <f>VLOOKUP("#0014",translation,code,FALSE)</f>
        <v>Name des Unternehmens:</v>
      </c>
      <c r="E19" s="84"/>
      <c r="F19" s="2"/>
      <c r="G19" s="2"/>
    </row>
    <row r="20" spans="2:7" ht="15" customHeight="1" x14ac:dyDescent="0.25">
      <c r="B20" s="4"/>
      <c r="C20" s="4"/>
      <c r="D20" s="5" t="str">
        <f>VLOOKUP("#0015",translation,code,FALSE)</f>
        <v>Vollständige Anschrift:</v>
      </c>
      <c r="E20" s="85"/>
      <c r="F20" s="2"/>
      <c r="G20" s="2"/>
    </row>
    <row r="21" spans="2:7" ht="15" customHeight="1" x14ac:dyDescent="0.25">
      <c r="B21" s="4"/>
      <c r="C21" s="4"/>
      <c r="D21" s="2"/>
      <c r="E21" s="86"/>
      <c r="F21" s="2"/>
      <c r="G21" s="2"/>
    </row>
    <row r="22" spans="2:7" ht="15" customHeight="1" x14ac:dyDescent="0.25">
      <c r="B22" s="4"/>
      <c r="C22" s="4"/>
      <c r="D22" s="2"/>
      <c r="E22" s="87"/>
      <c r="F22" s="2"/>
      <c r="G22" s="2"/>
    </row>
    <row r="23" spans="2:7" ht="15" customHeight="1" x14ac:dyDescent="0.25">
      <c r="B23" s="4"/>
      <c r="C23" s="4"/>
      <c r="D23" s="2"/>
      <c r="E23" s="2"/>
      <c r="F23" s="2"/>
      <c r="G23" s="2"/>
    </row>
    <row r="24" spans="2:7" ht="15" customHeight="1" x14ac:dyDescent="0.25">
      <c r="B24" s="4"/>
      <c r="C24" s="4"/>
      <c r="D24" s="8" t="str">
        <f>VLOOKUP("#0016",translation,code,FALSE)</f>
        <v>Kontaktperson für Rückfragen</v>
      </c>
      <c r="E24" s="2"/>
      <c r="F24" s="2"/>
      <c r="G24" s="2"/>
    </row>
    <row r="25" spans="2:7" ht="15" customHeight="1" x14ac:dyDescent="0.25">
      <c r="B25" s="4"/>
      <c r="C25" s="4"/>
      <c r="D25" s="5" t="str">
        <f>VLOOKUP("#0017",translation,code,FALSE)</f>
        <v>Name:</v>
      </c>
      <c r="E25" s="84"/>
      <c r="F25" s="2"/>
      <c r="G25" s="2"/>
    </row>
    <row r="26" spans="2:7" ht="15" customHeight="1" x14ac:dyDescent="0.25">
      <c r="B26" s="4"/>
      <c r="C26" s="4"/>
      <c r="D26" s="5" t="str">
        <f>VLOOKUP("#0018",translation,code,FALSE)</f>
        <v>Funktion:</v>
      </c>
      <c r="E26" s="84"/>
      <c r="F26" s="2"/>
      <c r="G26" s="2"/>
    </row>
    <row r="27" spans="2:7" ht="15" customHeight="1" x14ac:dyDescent="0.25">
      <c r="B27" s="4"/>
      <c r="C27" s="4"/>
      <c r="D27" s="5" t="str">
        <f>VLOOKUP("#0019",translation,code,FALSE)</f>
        <v>Telefonnummer:</v>
      </c>
      <c r="E27" s="84"/>
      <c r="F27" s="2"/>
      <c r="G27" s="2"/>
    </row>
    <row r="28" spans="2:7" ht="15" customHeight="1" x14ac:dyDescent="0.25">
      <c r="B28" s="4"/>
      <c r="C28" s="4"/>
      <c r="D28" s="5" t="str">
        <f>VLOOKUP("#0020",translation,code,FALSE)</f>
        <v>E-Mail-Adresse:</v>
      </c>
      <c r="E28" s="84"/>
      <c r="F28" s="2"/>
      <c r="G28" s="2"/>
    </row>
    <row r="29" spans="2:7" ht="15" customHeight="1" x14ac:dyDescent="0.25">
      <c r="B29" s="4"/>
      <c r="C29" s="4"/>
      <c r="D29" s="2"/>
      <c r="E29" s="2"/>
      <c r="F29" s="2"/>
      <c r="G29" s="2"/>
    </row>
    <row r="30" spans="2:7" ht="15" customHeight="1" x14ac:dyDescent="0.25">
      <c r="B30" s="4"/>
      <c r="C30" s="4"/>
      <c r="D30" s="8" t="str">
        <f>VLOOKUP("#0021",translation,code,FALSE)</f>
        <v>Angaben zum Produkt</v>
      </c>
      <c r="E30" s="2"/>
      <c r="F30" s="2"/>
      <c r="G30" s="2"/>
    </row>
    <row r="31" spans="2:7" ht="15" customHeight="1" x14ac:dyDescent="0.25">
      <c r="B31" s="4"/>
      <c r="C31" s="4"/>
      <c r="D31" s="5" t="str">
        <f>VLOOKUP("#0022",translation,code,FALSE)</f>
        <v>Handelsname des Produkts:</v>
      </c>
      <c r="E31" s="88"/>
      <c r="F31" s="2"/>
      <c r="G31" s="2"/>
    </row>
    <row r="32" spans="2:7" ht="15" customHeight="1" x14ac:dyDescent="0.25">
      <c r="B32" s="4"/>
      <c r="C32" s="4"/>
      <c r="D32" s="2"/>
      <c r="E32" s="2"/>
      <c r="F32" s="2"/>
      <c r="G32" s="2"/>
    </row>
    <row r="33" spans="2:24" ht="15" customHeight="1" x14ac:dyDescent="0.25">
      <c r="B33" s="4"/>
      <c r="C33" s="4"/>
      <c r="D33" s="7" t="str">
        <f>VLOOKUP("#0023",translation,code,FALSE)</f>
        <v>Erklärung des</v>
      </c>
      <c r="E33" s="36" t="str">
        <f>IF(Information!$F$2=Text!$B$1,Text!$B$26,Text!$C$26)</f>
        <v>(großes "X" eintragen)</v>
      </c>
      <c r="F33" s="2"/>
      <c r="G33" s="2"/>
    </row>
    <row r="34" spans="2:24" ht="15" customHeight="1" x14ac:dyDescent="0.25">
      <c r="B34" s="89"/>
      <c r="C34" s="4"/>
      <c r="D34" s="2" t="str">
        <f>VLOOKUP("#0025",translation,code,FALSE)</f>
        <v>Chemikalienherstellers</v>
      </c>
      <c r="E34" s="75" t="str">
        <f>IF(B35&lt;&gt;"",VLOOKUP("#0027",translation,code,FALSE),"")</f>
        <v/>
      </c>
      <c r="F34" s="2"/>
      <c r="G34" s="2"/>
    </row>
    <row r="35" spans="2:24" ht="15" customHeight="1" x14ac:dyDescent="0.25">
      <c r="B35" s="89"/>
      <c r="C35" s="4"/>
      <c r="D35" s="2" t="str">
        <f>VLOOKUP("#0026",translation,code,FALSE)</f>
        <v>Chemikalienlieferanten</v>
      </c>
      <c r="E35" s="62" t="str">
        <f>IF(B35&lt;&gt;"",VLOOKUP("#0028",translation,code,FALSE),"")</f>
        <v/>
      </c>
      <c r="F35" s="2"/>
      <c r="G35" s="2"/>
    </row>
    <row r="36" spans="2:24" ht="15" customHeight="1" x14ac:dyDescent="0.25">
      <c r="B36" s="4"/>
      <c r="C36" s="4"/>
      <c r="D36" s="2"/>
      <c r="E36" s="2"/>
      <c r="F36" s="2"/>
      <c r="G36" s="2"/>
    </row>
    <row r="37" spans="2:24" ht="15" customHeight="1" x14ac:dyDescent="0.25">
      <c r="B37" s="4"/>
      <c r="C37" s="4"/>
      <c r="D37" s="7" t="str">
        <f>VLOOKUP("#0034",translation,code,FALSE)</f>
        <v>Das Produkt ist ein:</v>
      </c>
      <c r="E37" s="2"/>
      <c r="F37" s="2"/>
      <c r="G37" s="2"/>
    </row>
    <row r="38" spans="2:24" ht="15" customHeight="1" x14ac:dyDescent="0.25">
      <c r="B38" s="89"/>
      <c r="C38" s="4"/>
      <c r="D38" s="2" t="str">
        <f>VLOOKUP("#0035",translation,code,FALSE)</f>
        <v>Stoff</v>
      </c>
      <c r="E38" s="2"/>
      <c r="F38" s="2"/>
      <c r="G38" s="2"/>
    </row>
    <row r="39" spans="2:24" ht="15" customHeight="1" x14ac:dyDescent="0.25">
      <c r="B39" s="89"/>
      <c r="C39" s="4"/>
      <c r="D39" s="2" t="str">
        <f>VLOOKUP("#0036",translation,code,FALSE)</f>
        <v>Gemisch</v>
      </c>
      <c r="E39" s="2"/>
      <c r="F39" s="2"/>
      <c r="G39" s="2"/>
    </row>
    <row r="40" spans="2:24" ht="15" customHeight="1" x14ac:dyDescent="0.25">
      <c r="B40" s="4"/>
      <c r="C40" s="4"/>
      <c r="D40" s="5" t="str">
        <f>VLOOKUP("#0038",translation,code,FALSE)</f>
        <v>CAS-Nr. (bei Stoffen):</v>
      </c>
      <c r="E40" s="84"/>
      <c r="F40" s="2"/>
      <c r="G40" s="2"/>
    </row>
    <row r="41" spans="2:24" ht="15" customHeight="1" x14ac:dyDescent="0.25">
      <c r="B41" s="4"/>
      <c r="C41" s="4"/>
      <c r="D41" s="5" t="str">
        <f>VLOOKUP("#0039",translation,code,FALSE)</f>
        <v>EC-Nr. (bei Stoffen):</v>
      </c>
      <c r="E41" s="84"/>
      <c r="F41" s="2"/>
      <c r="G41" s="2"/>
    </row>
    <row r="42" spans="2:24" ht="15" customHeight="1" x14ac:dyDescent="0.25">
      <c r="B42" s="4"/>
      <c r="C42" s="4"/>
      <c r="D42" s="5" t="str">
        <f>VLOOKUP("#0018",translation,code,FALSE)</f>
        <v>Funktion:</v>
      </c>
      <c r="E42" s="84"/>
      <c r="F42" s="2"/>
      <c r="G42" s="2"/>
    </row>
    <row r="43" spans="2:24" ht="15" customHeight="1" x14ac:dyDescent="0.25">
      <c r="B43" s="4"/>
      <c r="C43" s="4"/>
      <c r="D43" s="5" t="str">
        <f>VLOOKUP("#0037",translation,code,FALSE)</f>
        <v>Aggregatszustand:</v>
      </c>
      <c r="E43" s="84"/>
      <c r="F43" s="2"/>
      <c r="G43" s="2"/>
    </row>
    <row r="44" spans="2:24" s="39" customFormat="1" ht="15" customHeight="1" x14ac:dyDescent="0.25">
      <c r="D44" s="5" t="s">
        <v>384</v>
      </c>
      <c r="E44" s="50"/>
      <c r="F44" s="51"/>
      <c r="J44" s="4"/>
      <c r="K44" s="4"/>
      <c r="L44" s="4"/>
      <c r="M44" s="4"/>
      <c r="N44" s="51"/>
      <c r="O44" s="51"/>
      <c r="P44" s="51"/>
      <c r="Q44" s="51"/>
      <c r="R44" s="51"/>
      <c r="S44" s="4"/>
      <c r="T44" s="4"/>
      <c r="U44" s="4"/>
      <c r="V44" s="4"/>
      <c r="W44" s="4"/>
      <c r="X44" s="4"/>
    </row>
    <row r="45" spans="2:24" ht="15" customHeight="1" x14ac:dyDescent="0.25">
      <c r="B45" s="4"/>
      <c r="C45" s="4"/>
      <c r="D45" s="5" t="str">
        <f>VLOOKUP("#0040",translation,code,FALSE)</f>
        <v>H-Sätze:</v>
      </c>
      <c r="E45" s="84"/>
      <c r="F45" s="2"/>
      <c r="G45" s="2"/>
    </row>
    <row r="46" spans="2:24" ht="15" customHeight="1" x14ac:dyDescent="0.25">
      <c r="B46" s="4"/>
      <c r="C46" s="4"/>
      <c r="D46" s="5"/>
      <c r="E46" s="5" t="str">
        <f>VLOOKUP("#0041",translation,code,FALSE)</f>
        <v>Bei Kennzeichnung mit H400: M-Faktor =</v>
      </c>
      <c r="F46" s="84"/>
      <c r="G46" s="2"/>
    </row>
    <row r="47" spans="2:24" ht="15" customHeight="1" x14ac:dyDescent="0.25">
      <c r="B47" s="4"/>
      <c r="C47" s="4"/>
      <c r="D47" s="5"/>
      <c r="E47" s="5" t="str">
        <f>VLOOKUP("#0042",translation,code,FALSE)</f>
        <v>Bei Kennzeichnung mit H410: M-Faktor =</v>
      </c>
      <c r="F47" s="84"/>
      <c r="G47" s="2"/>
    </row>
    <row r="48" spans="2:24" ht="15" customHeight="1" x14ac:dyDescent="0.25">
      <c r="B48" s="4"/>
      <c r="C48" s="4"/>
      <c r="D48" s="19"/>
      <c r="E48" s="2"/>
      <c r="F48" s="2"/>
      <c r="G48" s="2"/>
    </row>
    <row r="49" spans="2:7" ht="15" customHeight="1" x14ac:dyDescent="0.25">
      <c r="B49" s="4"/>
      <c r="C49" s="4"/>
      <c r="D49" s="7" t="str">
        <f>VLOOKUP("#0029",translation,code,FALSE)</f>
        <v>Die aktuellste Version des EU-Sicherheitsdatenblatts des genannten Produkts wird mit eingereicht und</v>
      </c>
      <c r="E49" s="7"/>
      <c r="F49" s="2"/>
      <c r="G49" s="2"/>
    </row>
    <row r="50" spans="2:7" ht="15" customHeight="1" x14ac:dyDescent="0.25">
      <c r="B50" s="4"/>
      <c r="C50" s="4"/>
      <c r="D50" s="7" t="str">
        <f>VLOOKUP("#0030",translation,code,FALSE)</f>
        <v>ist nicht älter als 2 Jahre (SDS gemäß REACH-Verordnung, Einstufung gemäß CLP-Verordnung).</v>
      </c>
      <c r="E50" s="7"/>
      <c r="F50" s="2"/>
      <c r="G50" s="2"/>
    </row>
    <row r="51" spans="2:7" ht="15" customHeight="1" x14ac:dyDescent="0.25">
      <c r="B51" s="4"/>
      <c r="C51" s="4"/>
      <c r="D51" s="19"/>
      <c r="E51" s="2"/>
      <c r="F51" s="2"/>
      <c r="G51" s="2"/>
    </row>
    <row r="52" spans="2:7" ht="15" customHeight="1" x14ac:dyDescent="0.25">
      <c r="B52" s="89"/>
      <c r="C52" s="4"/>
      <c r="D52" s="2" t="str">
        <f>VLOOKUP("#0031",translation,code,FALSE)</f>
        <v>Wir bestätigen, dass wir die abweichenden Kriterien (z.B. Berücksichtigungsgrenzwerte oder Stoffausschlüsse)</v>
      </c>
      <c r="E52" s="2"/>
      <c r="F52" s="2"/>
      <c r="G52" s="2"/>
    </row>
    <row r="53" spans="2:7" ht="15" customHeight="1" x14ac:dyDescent="0.25">
      <c r="B53" s="4"/>
      <c r="C53" s="4"/>
      <c r="D53" s="2" t="str">
        <f>VLOOKUP("#0032",translation,code,FALSE)</f>
        <v>der Blauen Engels für die nachfolgenden Angaben verwenden und nicht die Grenzwerte aus der REACH- oder</v>
      </c>
      <c r="E53" s="2"/>
      <c r="F53" s="2"/>
      <c r="G53" s="2"/>
    </row>
    <row r="54" spans="2:7" ht="15" customHeight="1" x14ac:dyDescent="0.25">
      <c r="B54" s="4"/>
      <c r="C54" s="4"/>
      <c r="D54" s="2" t="str">
        <f>VLOOKUP("#0033",translation,code,FALSE)</f>
        <v>CLP-Verordnung.</v>
      </c>
      <c r="E54" s="2"/>
      <c r="F54" s="2"/>
      <c r="G54" s="2"/>
    </row>
    <row r="55" spans="2:7" ht="15" customHeight="1" x14ac:dyDescent="0.25">
      <c r="B55" s="4"/>
      <c r="C55" s="4"/>
      <c r="D55" s="2"/>
      <c r="E55" s="2"/>
      <c r="F55" s="2"/>
      <c r="G55" s="2"/>
    </row>
    <row r="56" spans="2:7" ht="15" customHeight="1" x14ac:dyDescent="0.25">
      <c r="B56" s="4"/>
      <c r="C56" s="4"/>
      <c r="D56" s="7" t="str">
        <f>VLOOKUP("#0075",translation,code,FALSE)</f>
        <v>Diese Anlage gilt für die folgenden Vergabekriterien:</v>
      </c>
      <c r="E56" s="2"/>
      <c r="F56" s="2"/>
      <c r="G56" s="2"/>
    </row>
    <row r="57" spans="2:7" ht="15" customHeight="1" x14ac:dyDescent="0.25">
      <c r="B57" s="89" t="s">
        <v>230</v>
      </c>
      <c r="C57" s="4"/>
      <c r="D57" s="2" t="str">
        <f>VLOOKUP("#0003",translation,code,FALSE)</f>
        <v>DE-UZ 12a - Ausgabe Januar 2019</v>
      </c>
      <c r="E57" s="2" t="str">
        <f>VLOOKUP("#0008",translation,code,FALSE)</f>
        <v>Emissions- und schadstoffarme Lacke</v>
      </c>
      <c r="F57" s="2"/>
      <c r="G57" s="2"/>
    </row>
    <row r="58" spans="2:7" ht="15" customHeight="1" x14ac:dyDescent="0.25">
      <c r="B58" s="89" t="s">
        <v>230</v>
      </c>
      <c r="C58" s="4"/>
      <c r="D58" s="2" t="str">
        <f>VLOOKUP("#0073",translation,code,FALSE)</f>
        <v>DE-UZ 102 - Ausgabe Januar 2019</v>
      </c>
      <c r="E58" s="2" t="str">
        <f>VLOOKUP("#0074",translation,code,FALSE)</f>
        <v>Emissionsarme Innenwandfarben</v>
      </c>
      <c r="F58" s="2"/>
      <c r="G58" s="2"/>
    </row>
    <row r="59" spans="2:7" ht="15" customHeight="1" x14ac:dyDescent="0.25">
      <c r="B59" s="89" t="s">
        <v>230</v>
      </c>
      <c r="C59" s="4"/>
      <c r="D59" s="2" t="str">
        <f>VLOOKUP("#0004",translation,code,FALSE)</f>
        <v>DE-UZ 113 - Ausgabe Januar 2019</v>
      </c>
      <c r="E59" s="2" t="str">
        <f>VLOOKUP("#0009",translation,code,FALSE)</f>
        <v>Emissionsarme Bodenbelagsklebstoffe und andere Verlegewerkstoffe</v>
      </c>
      <c r="F59" s="2"/>
      <c r="G59" s="2"/>
    </row>
    <row r="60" spans="2:7" ht="15" customHeight="1" x14ac:dyDescent="0.25">
      <c r="B60" s="89" t="s">
        <v>230</v>
      </c>
      <c r="C60" s="4"/>
      <c r="D60" s="2" t="str">
        <f>VLOOKUP("#0005",translation,code,FALSE)</f>
        <v>DE-UZ 123 - Ausgabe Januar 2019</v>
      </c>
      <c r="E60" s="2" t="str">
        <f>VLOOKUP("#0010",translation,code,FALSE)</f>
        <v>Emissionsarme Dichtstoffe für den Innenraum</v>
      </c>
      <c r="F60" s="2"/>
      <c r="G60" s="2"/>
    </row>
    <row r="61" spans="2:7" ht="15" customHeight="1" x14ac:dyDescent="0.25">
      <c r="B61" s="89" t="s">
        <v>230</v>
      </c>
      <c r="C61" s="4"/>
      <c r="D61" s="2" t="str">
        <f>VLOOKUP("#0006",translation,code,FALSE)</f>
        <v>DE-UZ 198 - Ausgabe Januar 2019</v>
      </c>
      <c r="E61" s="2" t="str">
        <f>VLOOKUP("#0011",translation,code,FALSE)</f>
        <v>Emissionsarme Putze für den Innenraum</v>
      </c>
      <c r="F61" s="2"/>
      <c r="G61" s="2"/>
    </row>
    <row r="62" spans="2:7" ht="15" customHeight="1" x14ac:dyDescent="0.25">
      <c r="B62" s="89" t="s">
        <v>230</v>
      </c>
      <c r="C62" s="4"/>
      <c r="D62" s="2" t="str">
        <f>VLOOKUP("#0007",translation,code,FALSE)</f>
        <v>DE-UZ 225 - Ausgabe Juli 2022</v>
      </c>
      <c r="E62" s="2" t="str">
        <f>VLOOKUP("#0012",translation,code,FALSE)</f>
        <v>Schadstoffarme Fassadenfarben</v>
      </c>
      <c r="F62" s="2"/>
      <c r="G62" s="2"/>
    </row>
    <row r="63" spans="2:7" ht="15" customHeight="1" x14ac:dyDescent="0.25">
      <c r="B63" s="4"/>
      <c r="C63" s="4"/>
      <c r="D63" s="7" t="str">
        <f>VLOOKUP("#0076",translation,code,FALSE)</f>
        <v>Wenn die Herstellererklärung nur für bestimmte Vergabekriterien gelten soll,</v>
      </c>
      <c r="E63" s="2"/>
      <c r="F63" s="2"/>
      <c r="G63" s="2"/>
    </row>
    <row r="64" spans="2:7" ht="15" customHeight="1" x14ac:dyDescent="0.25">
      <c r="B64" s="4"/>
      <c r="C64" s="4"/>
      <c r="D64" s="7" t="str">
        <f>VLOOKUP("#0188",translation,code,FALSE)</f>
        <v>entfernen Sie bitte die entsprechenden Kreuze.</v>
      </c>
      <c r="E64" s="2"/>
      <c r="F64" s="2"/>
      <c r="G64" s="2"/>
    </row>
    <row r="65" spans="2:7" ht="15" customHeight="1" x14ac:dyDescent="0.25">
      <c r="B65" s="4"/>
      <c r="C65" s="4"/>
      <c r="D65" s="2"/>
      <c r="E65" s="2"/>
      <c r="F65" s="2"/>
      <c r="G65" s="2"/>
    </row>
    <row r="66" spans="2:7" ht="15" customHeight="1" x14ac:dyDescent="0.25">
      <c r="B66" s="4"/>
      <c r="C66" s="4"/>
      <c r="D66" s="2" t="str">
        <f>VLOOKUP("#0078",translation,code,FALSE)</f>
        <v>Anmerkungen:</v>
      </c>
      <c r="E66" s="2"/>
      <c r="F66" s="2"/>
      <c r="G66" s="2"/>
    </row>
    <row r="67" spans="2:7" ht="141" customHeight="1" x14ac:dyDescent="0.25">
      <c r="B67" s="4"/>
      <c r="C67" s="4"/>
      <c r="D67" s="130"/>
      <c r="E67" s="131"/>
      <c r="F67" s="132"/>
      <c r="G67" s="2"/>
    </row>
    <row r="68" spans="2:7" ht="15" customHeight="1" x14ac:dyDescent="0.25">
      <c r="B68" s="4"/>
      <c r="C68" s="4"/>
      <c r="D68" s="2"/>
      <c r="E68" s="2"/>
      <c r="F68" s="2"/>
      <c r="G68" s="2"/>
    </row>
    <row r="69" spans="2:7" ht="15" customHeight="1" x14ac:dyDescent="0.25">
      <c r="B69" s="4"/>
      <c r="C69" s="4"/>
      <c r="D69" s="20" t="str">
        <f>VLOOKUP("#0043",translation,code,FALSE)</f>
        <v>Bitte fahren Sie auf Tabellenblatt "Bestandteile - Ingredients" fort.</v>
      </c>
      <c r="E69" s="2"/>
      <c r="F69" s="2"/>
      <c r="G69" s="2"/>
    </row>
    <row r="70" spans="2:7" ht="15" customHeight="1" x14ac:dyDescent="0.25">
      <c r="B70" s="4"/>
      <c r="C70" s="4"/>
      <c r="D70" s="2"/>
      <c r="E70" s="2"/>
      <c r="F70" s="2"/>
      <c r="G70" s="2"/>
    </row>
    <row r="71" spans="2:7" ht="15" customHeight="1" x14ac:dyDescent="0.25">
      <c r="B71" s="4"/>
      <c r="C71" s="4"/>
      <c r="D71" s="45" t="str">
        <f>VLOOKUP("#0079",translation,code,FALSE)</f>
        <v>Diese Erklärung kann auch direkt bei RAL eingereicht werden:</v>
      </c>
      <c r="E71" s="45"/>
      <c r="F71" s="2"/>
      <c r="G71" s="2"/>
    </row>
    <row r="72" spans="2:7" ht="15" customHeight="1" x14ac:dyDescent="0.25">
      <c r="B72" s="4"/>
      <c r="C72" s="4"/>
      <c r="D72" s="45"/>
      <c r="E72" s="45"/>
      <c r="F72" s="2"/>
      <c r="G72" s="2"/>
    </row>
    <row r="73" spans="2:7" ht="15" customHeight="1" x14ac:dyDescent="0.25">
      <c r="B73" s="4"/>
      <c r="C73" s="4"/>
      <c r="D73" s="46" t="str">
        <f>VLOOKUP("#0015",translation,code,FALSE)</f>
        <v>Vollständige Anschrift:</v>
      </c>
      <c r="E73" s="45" t="s">
        <v>258</v>
      </c>
      <c r="F73" s="2"/>
      <c r="G73" s="2"/>
    </row>
    <row r="74" spans="2:7" ht="15" customHeight="1" x14ac:dyDescent="0.25">
      <c r="B74" s="4"/>
      <c r="C74" s="4"/>
      <c r="D74" s="45"/>
      <c r="E74" s="45" t="str">
        <f>VLOOKUP("#0084",translation,code,FALSE)</f>
        <v>Umwelt</v>
      </c>
      <c r="F74" s="2"/>
      <c r="G74" s="2"/>
    </row>
    <row r="75" spans="2:7" ht="15" customHeight="1" x14ac:dyDescent="0.25">
      <c r="B75" s="4"/>
      <c r="C75" s="4"/>
      <c r="D75" s="45"/>
      <c r="E75" s="45" t="s">
        <v>259</v>
      </c>
      <c r="F75" s="2"/>
      <c r="G75" s="2"/>
    </row>
    <row r="76" spans="2:7" ht="15" customHeight="1" x14ac:dyDescent="0.25">
      <c r="B76" s="4"/>
      <c r="C76" s="4"/>
      <c r="D76" s="45"/>
      <c r="E76" s="45" t="s">
        <v>260</v>
      </c>
      <c r="F76" s="2"/>
      <c r="G76" s="2"/>
    </row>
    <row r="77" spans="2:7" ht="15" customHeight="1" x14ac:dyDescent="0.25">
      <c r="B77" s="4"/>
      <c r="C77" s="4"/>
      <c r="D77" s="5" t="str">
        <f>VLOOKUP("#0019",translation,code,FALSE)</f>
        <v>Telefonnummer:</v>
      </c>
      <c r="E77" s="47" t="s">
        <v>261</v>
      </c>
      <c r="F77" s="2"/>
      <c r="G77" s="2"/>
    </row>
    <row r="78" spans="2:7" ht="15" customHeight="1" x14ac:dyDescent="0.25">
      <c r="B78" s="4"/>
      <c r="C78" s="4"/>
      <c r="D78" s="5" t="str">
        <f>VLOOKUP("#0020",translation,code,FALSE)</f>
        <v>E-Mail-Adresse:</v>
      </c>
      <c r="E78" s="48" t="s">
        <v>262</v>
      </c>
      <c r="F78" s="2"/>
      <c r="G78" s="2"/>
    </row>
    <row r="79" spans="2:7" ht="15" customHeight="1" x14ac:dyDescent="0.25">
      <c r="B79" s="4"/>
      <c r="C79" s="4"/>
      <c r="D79" s="46" t="str">
        <f>VLOOKUP("#0080",translation,code,FALSE)</f>
        <v>Betreff:</v>
      </c>
      <c r="E79" s="45" t="str">
        <f>VLOOKUP("#0085",translation,code,FALSE)</f>
        <v>Anlage R - DE-UZ 12a, 102, 113, 123, 198, 225</v>
      </c>
      <c r="F79" s="2"/>
      <c r="G79" s="2"/>
    </row>
    <row r="80" spans="2:7" ht="15" customHeight="1" x14ac:dyDescent="0.25">
      <c r="B80" s="4"/>
      <c r="C80" s="4"/>
      <c r="D80" s="45"/>
      <c r="E80" s="45"/>
      <c r="F80" s="2"/>
      <c r="G80" s="2"/>
    </row>
    <row r="81" spans="2:7" ht="15" customHeight="1" x14ac:dyDescent="0.25">
      <c r="B81" s="4"/>
      <c r="C81" s="4"/>
      <c r="D81" s="46" t="str">
        <f>VLOOKUP("#0081",translation,code,FALSE)</f>
        <v>Ort:</v>
      </c>
      <c r="E81" s="50"/>
      <c r="F81" s="2"/>
      <c r="G81" s="2"/>
    </row>
    <row r="82" spans="2:7" ht="15" customHeight="1" x14ac:dyDescent="0.25">
      <c r="B82" s="4"/>
      <c r="C82" s="4"/>
      <c r="D82" s="46" t="str">
        <f>VLOOKUP("#0082",translation,code,FALSE)</f>
        <v>Datum:</v>
      </c>
      <c r="E82" s="50"/>
      <c r="F82" s="2"/>
      <c r="G82" s="2"/>
    </row>
    <row r="83" spans="2:7" ht="15" customHeight="1" x14ac:dyDescent="0.25">
      <c r="B83" s="4"/>
      <c r="C83" s="4"/>
      <c r="D83" s="46"/>
      <c r="E83" s="49"/>
      <c r="F83" s="2"/>
      <c r="G83" s="2"/>
    </row>
    <row r="84" spans="2:7" ht="15" customHeight="1" x14ac:dyDescent="0.25">
      <c r="B84" s="4"/>
      <c r="C84" s="4"/>
      <c r="D84" s="46" t="str">
        <f>VLOOKUP("#0083",translation,code,FALSE)</f>
        <v>Autorisierte Unterschrift und Firmenstempel:</v>
      </c>
      <c r="E84" s="133"/>
      <c r="F84" s="2"/>
      <c r="G84" s="2"/>
    </row>
    <row r="85" spans="2:7" ht="15" customHeight="1" x14ac:dyDescent="0.25">
      <c r="B85" s="4"/>
      <c r="C85" s="4"/>
      <c r="D85" s="45"/>
      <c r="E85" s="133"/>
      <c r="F85" s="2"/>
      <c r="G85" s="2"/>
    </row>
    <row r="86" spans="2:7" ht="15" customHeight="1" x14ac:dyDescent="0.25">
      <c r="B86" s="4"/>
      <c r="C86" s="4"/>
      <c r="D86" s="45"/>
      <c r="E86" s="133"/>
      <c r="F86" s="2"/>
      <c r="G86" s="2"/>
    </row>
    <row r="87" spans="2:7" ht="15" customHeight="1" x14ac:dyDescent="0.25">
      <c r="B87" s="4"/>
      <c r="C87" s="4"/>
      <c r="D87" s="45"/>
      <c r="E87" s="133"/>
      <c r="F87" s="2"/>
      <c r="G87" s="2"/>
    </row>
    <row r="88" spans="2:7" ht="15" customHeight="1" x14ac:dyDescent="0.25">
      <c r="B88" s="4"/>
      <c r="C88" s="4"/>
      <c r="D88" s="45"/>
      <c r="E88" s="133"/>
      <c r="F88" s="2"/>
      <c r="G88" s="2"/>
    </row>
    <row r="89" spans="2:7" ht="15" customHeight="1" x14ac:dyDescent="0.25">
      <c r="B89" s="4"/>
      <c r="C89" s="4"/>
      <c r="D89" s="45"/>
      <c r="E89" s="133"/>
      <c r="F89" s="2"/>
      <c r="G89" s="2"/>
    </row>
    <row r="90" spans="2:7" ht="15" customHeight="1" x14ac:dyDescent="0.25">
      <c r="B90" s="4"/>
      <c r="C90" s="4"/>
      <c r="D90" s="2"/>
      <c r="E90" s="2"/>
      <c r="F90" s="2"/>
      <c r="G90" s="2"/>
    </row>
    <row r="91" spans="2:7" ht="15" customHeight="1" x14ac:dyDescent="0.25">
      <c r="B91" s="4"/>
      <c r="C91" s="4"/>
      <c r="D91" s="2"/>
      <c r="E91" s="2"/>
      <c r="F91" s="2"/>
      <c r="G91" s="2"/>
    </row>
    <row r="92" spans="2:7" ht="15" customHeight="1" x14ac:dyDescent="0.25">
      <c r="B92" s="4"/>
      <c r="C92" s="4"/>
      <c r="D92" s="2"/>
      <c r="E92" s="2"/>
      <c r="F92" s="2"/>
      <c r="G92" s="2"/>
    </row>
    <row r="93" spans="2:7" ht="15" customHeight="1" x14ac:dyDescent="0.25">
      <c r="B93" s="4"/>
      <c r="C93" s="4"/>
      <c r="D93" s="2"/>
      <c r="E93" s="2"/>
      <c r="F93" s="2"/>
      <c r="G93" s="2"/>
    </row>
    <row r="94" spans="2:7" ht="15" customHeight="1" x14ac:dyDescent="0.25">
      <c r="B94" s="4"/>
      <c r="C94" s="4"/>
      <c r="D94" s="2"/>
      <c r="E94" s="2"/>
      <c r="F94" s="2"/>
      <c r="G94" s="2"/>
    </row>
    <row r="95" spans="2:7" ht="15" customHeight="1" x14ac:dyDescent="0.25">
      <c r="B95" s="4"/>
      <c r="C95" s="4"/>
      <c r="D95" s="2"/>
      <c r="E95" s="2"/>
      <c r="F95" s="2"/>
      <c r="G95" s="2"/>
    </row>
    <row r="96" spans="2:7" ht="7.5" customHeight="1" x14ac:dyDescent="0.25">
      <c r="B96" s="4"/>
      <c r="C96" s="4"/>
      <c r="D96" s="2"/>
      <c r="E96" s="2"/>
      <c r="F96" s="2"/>
      <c r="G96" s="2"/>
    </row>
    <row r="97" spans="2:7" ht="15" customHeight="1" x14ac:dyDescent="0.25">
      <c r="B97" s="4"/>
      <c r="C97" s="4"/>
      <c r="D97" s="2"/>
      <c r="E97" s="2"/>
      <c r="F97" s="2"/>
      <c r="G97" s="2"/>
    </row>
    <row r="98" spans="2:7" ht="15" customHeight="1" x14ac:dyDescent="0.25">
      <c r="B98" s="4"/>
      <c r="C98" s="4"/>
      <c r="D98" s="2"/>
      <c r="E98" s="2"/>
      <c r="F98" s="2"/>
      <c r="G98" s="2"/>
    </row>
    <row r="99" spans="2:7" ht="15" customHeight="1" x14ac:dyDescent="0.25">
      <c r="B99" s="4"/>
      <c r="C99" s="4"/>
      <c r="D99" s="2"/>
      <c r="E99" s="2"/>
      <c r="F99" s="2"/>
      <c r="G99" s="2"/>
    </row>
    <row r="100" spans="2:7" ht="15" customHeight="1" x14ac:dyDescent="0.25">
      <c r="B100" s="4"/>
      <c r="C100" s="4"/>
      <c r="D100" s="2"/>
      <c r="E100" s="2"/>
      <c r="F100" s="2"/>
      <c r="G100" s="2"/>
    </row>
    <row r="101" spans="2:7" ht="15" customHeight="1" x14ac:dyDescent="0.25">
      <c r="B101" s="4"/>
      <c r="C101" s="4"/>
      <c r="D101" s="2"/>
      <c r="E101" s="2"/>
      <c r="F101" s="2"/>
      <c r="G101" s="2"/>
    </row>
    <row r="102" spans="2:7" ht="15" customHeight="1" x14ac:dyDescent="0.25">
      <c r="B102" s="4"/>
      <c r="C102" s="4"/>
      <c r="D102" s="2"/>
      <c r="E102" s="2"/>
      <c r="F102" s="2"/>
      <c r="G102" s="2"/>
    </row>
    <row r="103" spans="2:7" ht="15" customHeight="1" x14ac:dyDescent="0.25">
      <c r="B103" s="4"/>
      <c r="C103" s="4"/>
      <c r="D103" s="2"/>
      <c r="E103" s="2"/>
      <c r="F103" s="2"/>
      <c r="G103" s="2"/>
    </row>
    <row r="104" spans="2:7" ht="15" customHeight="1" x14ac:dyDescent="0.25">
      <c r="D104" s="2"/>
      <c r="E104" s="2"/>
      <c r="F104" s="2"/>
      <c r="G104" s="2"/>
    </row>
    <row r="105" spans="2:7" ht="15" customHeight="1" x14ac:dyDescent="0.25">
      <c r="D105" s="2"/>
      <c r="E105" s="2"/>
      <c r="F105" s="2"/>
      <c r="G105" s="2"/>
    </row>
    <row r="106" spans="2:7" ht="15" customHeight="1" x14ac:dyDescent="0.25">
      <c r="D106" s="2"/>
      <c r="E106" s="2"/>
      <c r="F106" s="2"/>
      <c r="G106" s="2"/>
    </row>
    <row r="107" spans="2:7" ht="15" customHeight="1" x14ac:dyDescent="0.25">
      <c r="D107" s="2"/>
      <c r="E107" s="2"/>
      <c r="F107" s="2"/>
      <c r="G107" s="2"/>
    </row>
    <row r="108" spans="2:7" ht="15" customHeight="1" x14ac:dyDescent="0.25">
      <c r="D108" s="2"/>
      <c r="E108" s="2"/>
      <c r="F108" s="2"/>
      <c r="G108" s="2"/>
    </row>
    <row r="109" spans="2:7" ht="15" customHeight="1" x14ac:dyDescent="0.25">
      <c r="D109" s="2"/>
      <c r="E109" s="2"/>
      <c r="F109" s="2"/>
      <c r="G109" s="2"/>
    </row>
    <row r="110" spans="2:7" ht="15" customHeight="1" x14ac:dyDescent="0.25">
      <c r="D110" s="2"/>
      <c r="E110" s="2"/>
      <c r="F110" s="2"/>
      <c r="G110" s="2"/>
    </row>
    <row r="111" spans="2:7" ht="15" customHeight="1" x14ac:dyDescent="0.25">
      <c r="D111" s="2"/>
      <c r="E111" s="2"/>
      <c r="F111" s="2"/>
      <c r="G111" s="2"/>
    </row>
    <row r="112" spans="2:7" ht="15" customHeight="1" x14ac:dyDescent="0.25">
      <c r="D112" s="2"/>
      <c r="E112" s="2"/>
      <c r="F112" s="2"/>
      <c r="G112" s="2"/>
    </row>
    <row r="113" spans="4:7" ht="15" customHeight="1" x14ac:dyDescent="0.25">
      <c r="D113" s="2"/>
      <c r="E113" s="2"/>
      <c r="F113" s="2"/>
      <c r="G113" s="2"/>
    </row>
    <row r="114" spans="4:7" ht="15" customHeight="1" x14ac:dyDescent="0.25">
      <c r="D114" s="2"/>
      <c r="E114" s="2"/>
      <c r="F114" s="2"/>
      <c r="G114" s="2"/>
    </row>
    <row r="115" spans="4:7" ht="15" customHeight="1" x14ac:dyDescent="0.25">
      <c r="D115" s="2"/>
      <c r="E115" s="2"/>
      <c r="F115" s="2"/>
      <c r="G115" s="2"/>
    </row>
    <row r="116" spans="4:7" ht="15" customHeight="1" x14ac:dyDescent="0.25">
      <c r="D116" s="2"/>
      <c r="E116" s="2"/>
      <c r="F116" s="2"/>
      <c r="G116" s="2"/>
    </row>
    <row r="117" spans="4:7" ht="15" customHeight="1" x14ac:dyDescent="0.25">
      <c r="D117" s="2"/>
      <c r="E117" s="2"/>
      <c r="F117" s="2"/>
      <c r="G117" s="2"/>
    </row>
  </sheetData>
  <sheetProtection algorithmName="SHA-512" hashValue="qGlyLQMv5w8WbV8GnEwVG/VtF50oQpnwrg8HO18NKgr9yR2LZJyj0gQuMefl2uWXqdYt7+lJVXsxLIWQmYDh4Q==" saltValue="kypf3WTGJmUWoOiEqd3CSA==" spinCount="100000" sheet="1" scenarios="1" selectLockedCells="1"/>
  <mergeCells count="2">
    <mergeCell ref="D67:F67"/>
    <mergeCell ref="E84:E89"/>
  </mergeCells>
  <hyperlinks>
    <hyperlink ref="E78" r:id="rId1" xr:uid="{7BD2262F-7A7F-4D4C-9E9B-9856AC64B2B2}"/>
  </hyperlinks>
  <pageMargins left="0.7" right="0.7" top="0.78740157499999996" bottom="0.78740157499999996" header="0.3" footer="0.3"/>
  <pageSetup paperSize="9" scale="68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5F86FC-F2C6-41AC-8E38-9DE06415FB52}">
          <x14:formula1>
            <xm:f>Text!$B$1:$C$1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7E77-7A44-4E8F-81CB-FEA7C87E2DAF}">
  <dimension ref="A2:Y64"/>
  <sheetViews>
    <sheetView workbookViewId="0">
      <selection activeCell="D17" sqref="D17"/>
    </sheetView>
  </sheetViews>
  <sheetFormatPr baseColWidth="10" defaultRowHeight="15" customHeight="1" x14ac:dyDescent="0.25"/>
  <cols>
    <col min="1" max="1" width="1.42578125" style="91" customWidth="1"/>
    <col min="2" max="2" width="3.140625" style="91" customWidth="1"/>
    <col min="3" max="3" width="1.42578125" style="91" customWidth="1"/>
    <col min="4" max="4" width="34.28515625" style="91" customWidth="1"/>
    <col min="5" max="5" width="15.7109375" style="91" customWidth="1"/>
    <col min="6" max="6" width="12" style="91" customWidth="1"/>
    <col min="7" max="7" width="14.85546875" style="91" bestFit="1" customWidth="1"/>
    <col min="8" max="8" width="28.5703125" style="91" customWidth="1"/>
    <col min="9" max="18" width="7.28515625" style="91" customWidth="1"/>
    <col min="19" max="20" width="7.85546875" style="91" bestFit="1" customWidth="1"/>
    <col min="21" max="21" width="11.42578125" style="91"/>
    <col min="22" max="22" width="6.7109375" style="91" bestFit="1" customWidth="1"/>
    <col min="23" max="24" width="6.7109375" style="91" customWidth="1"/>
    <col min="25" max="25" width="1.42578125" style="91" customWidth="1"/>
    <col min="26" max="26" width="4.7109375" style="91" bestFit="1" customWidth="1"/>
    <col min="27" max="31" width="4.85546875" style="91" bestFit="1" customWidth="1"/>
    <col min="32" max="16384" width="11.42578125" style="91"/>
  </cols>
  <sheetData>
    <row r="2" spans="4:24" ht="15" customHeight="1" x14ac:dyDescent="0.25">
      <c r="D2" s="90" t="str">
        <f>VLOOKUP("#0044",translation,code,FALSE)</f>
        <v>Angaben zu den Bestandteilen des Produkts</v>
      </c>
    </row>
    <row r="4" spans="4:24" ht="15" customHeight="1" x14ac:dyDescent="0.25">
      <c r="D4" s="92" t="str">
        <f>VLOOKUP("#0045",translation,code,FALSE)</f>
        <v>Geben Sie in Tabelle 1 bitte alle eingestuften Bestandteile an, denen die in Tabellenblatt "H-Sätze - H phrases, TRGS, MAK" genannten H-Sätze zugeordnet sind, unabhängig von der Konzentration.</v>
      </c>
    </row>
    <row r="5" spans="4:24" ht="15" customHeight="1" x14ac:dyDescent="0.25">
      <c r="D5" s="92" t="str">
        <f>VLOOKUP("#0046",translation,code,FALSE)</f>
        <v>SVHC und Stoffe, die in der MAK-Liste bzw. der TRGS 905 mit den in Tabellenblatt "H-Sätze - H phrases, TRGS, MAK" genannten Kategorien gelistet sind, sind bitte ebenfalls einzutragen.</v>
      </c>
    </row>
    <row r="6" spans="4:24" ht="15" customHeight="1" x14ac:dyDescent="0.25">
      <c r="D6" s="92"/>
    </row>
    <row r="7" spans="4:24" ht="15" customHeight="1" x14ac:dyDescent="0.25">
      <c r="D7" s="93" t="str">
        <f>VLOOKUP("#0047",translation,code,FALSE)</f>
        <v>Hinweis: Die enthaltenen Konservierungsmittel sind in Tabelle 2 separat anzugeben.</v>
      </c>
    </row>
    <row r="9" spans="4:24" ht="15" customHeight="1" x14ac:dyDescent="0.25">
      <c r="D9" s="94" t="str">
        <f>VLOOKUP("#0048",translation,code,FALSE)</f>
        <v>Bei Funktion geben Sie bitte an, welche Funktion der Bestandteil im Produkt erfüllt, und ob es sich dabei um einen Katalysator, eine Verunreinigung, ein Nebenprodukt, ein Restmonomer, übriggebliebenes Synthese-Ausgangsmaterial usw. handelt.</v>
      </c>
    </row>
    <row r="10" spans="4:24" ht="15" customHeight="1" x14ac:dyDescent="0.25">
      <c r="D10" s="94" t="str">
        <f>VLOOKUP("#0049",translation,code,FALSE)</f>
        <v>Diese Angabe ist wichtig um zu entscheiden, ob der Stoff konstitutionell* ist und ob das Produkt dennoch verwendet werden darf.</v>
      </c>
    </row>
    <row r="12" spans="4:24" ht="15" customHeight="1" x14ac:dyDescent="0.25">
      <c r="D12" s="94" t="str">
        <f>VLOOKUP("#0051",translation,code,FALSE)</f>
        <v>Die Farbcodes bei den H-Sätzen sind interne Bewertungshilfen für RAL. Diese können Sie ignorieren. In den Spalten "M-Faktor", "SVHC", "TRGS 905" und "MAK" ändern Sie bitte den Eintrag entsprechend, wenn abweichend vom vorgegebenen Wert.</v>
      </c>
    </row>
    <row r="14" spans="4:24" ht="15" customHeight="1" x14ac:dyDescent="0.25">
      <c r="D14" s="94" t="str">
        <f>VLOOKUP("#0052",translation,code,FALSE)</f>
        <v>Tabelle 1</v>
      </c>
    </row>
    <row r="15" spans="4:24" ht="15" customHeight="1" x14ac:dyDescent="0.25">
      <c r="D15" s="95" t="str">
        <f>VLOOKUP("#0054",translation,code,FALSE)</f>
        <v>Stoff</v>
      </c>
      <c r="E15" s="96" t="str">
        <f>VLOOKUP("#0055",translation,code,FALSE)</f>
        <v>CAS-Nr.</v>
      </c>
      <c r="F15" s="96" t="str">
        <f>VLOOKUP("#0056",translation,code,FALSE)</f>
        <v>EC-Nr.</v>
      </c>
      <c r="G15" s="96" t="str">
        <f>VLOOKUP("#0057",translation,code,FALSE)</f>
        <v>Einsatzmenge</v>
      </c>
      <c r="H15" s="95" t="str">
        <f>VLOOKUP("#0059",translation,code,FALSE)</f>
        <v>Funktion</v>
      </c>
      <c r="I15" s="134" t="str">
        <f>VLOOKUP("#0053",translation,code,FALSE)</f>
        <v>H-Sätze (bitte ohne das H eintragen und pro Zelle nur ein H-Satz)</v>
      </c>
      <c r="J15" s="134"/>
      <c r="K15" s="134"/>
      <c r="L15" s="134"/>
      <c r="M15" s="134"/>
      <c r="N15" s="134"/>
      <c r="O15" s="134"/>
      <c r="P15" s="134"/>
      <c r="Q15" s="134"/>
      <c r="R15" s="134"/>
      <c r="S15" s="135" t="str">
        <f>VLOOKUP("#0060",translation,code,FALSE)</f>
        <v>M-Faktor</v>
      </c>
      <c r="T15" s="136"/>
      <c r="U15" s="96" t="s">
        <v>102</v>
      </c>
      <c r="V15" s="96" t="s">
        <v>100</v>
      </c>
      <c r="W15" s="96" t="s">
        <v>269</v>
      </c>
      <c r="X15" s="96" t="s">
        <v>270</v>
      </c>
    </row>
    <row r="16" spans="4:24" ht="15" customHeight="1" x14ac:dyDescent="0.25">
      <c r="D16" s="97"/>
      <c r="E16" s="98"/>
      <c r="F16" s="98"/>
      <c r="G16" s="98" t="str">
        <f>VLOOKUP("#0058",translation,code,FALSE)</f>
        <v>[Gew.-%]</v>
      </c>
      <c r="H16" s="97"/>
      <c r="I16" s="99"/>
      <c r="J16" s="100"/>
      <c r="K16" s="100"/>
      <c r="L16" s="100"/>
      <c r="M16" s="100"/>
      <c r="N16" s="100"/>
      <c r="O16" s="100"/>
      <c r="P16" s="100"/>
      <c r="Q16" s="100"/>
      <c r="R16" s="101"/>
      <c r="S16" s="96" t="s">
        <v>98</v>
      </c>
      <c r="T16" s="96" t="s">
        <v>99</v>
      </c>
      <c r="U16" s="98" t="str">
        <f>VLOOKUP("#0058",translation,code,FALSE)</f>
        <v>[Gew.-%]</v>
      </c>
      <c r="V16" s="98"/>
      <c r="W16" s="98">
        <v>905</v>
      </c>
      <c r="X16" s="98"/>
    </row>
    <row r="17" spans="4:24" ht="15" customHeight="1" x14ac:dyDescent="0.25">
      <c r="D17" s="105"/>
      <c r="E17" s="106"/>
      <c r="F17" s="106"/>
      <c r="G17" s="106"/>
      <c r="H17" s="105"/>
      <c r="I17" s="34"/>
      <c r="J17" s="107"/>
      <c r="K17" s="107"/>
      <c r="L17" s="107"/>
      <c r="M17" s="107"/>
      <c r="N17" s="107"/>
      <c r="O17" s="107"/>
      <c r="P17" s="107"/>
      <c r="Q17" s="107"/>
      <c r="R17" s="107"/>
      <c r="S17" s="106">
        <v>1</v>
      </c>
      <c r="T17" s="106">
        <v>1</v>
      </c>
      <c r="U17" s="106"/>
      <c r="V17" s="106" t="s">
        <v>109</v>
      </c>
      <c r="W17" s="106" t="s">
        <v>109</v>
      </c>
      <c r="X17" s="106" t="s">
        <v>109</v>
      </c>
    </row>
    <row r="18" spans="4:24" ht="15" customHeight="1" x14ac:dyDescent="0.25">
      <c r="D18" s="105"/>
      <c r="E18" s="106"/>
      <c r="F18" s="106"/>
      <c r="G18" s="106"/>
      <c r="H18" s="105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6">
        <v>1</v>
      </c>
      <c r="T18" s="106">
        <v>1</v>
      </c>
      <c r="U18" s="106"/>
      <c r="V18" s="106" t="s">
        <v>109</v>
      </c>
      <c r="W18" s="106" t="s">
        <v>109</v>
      </c>
      <c r="X18" s="106" t="s">
        <v>109</v>
      </c>
    </row>
    <row r="19" spans="4:24" ht="15" customHeight="1" x14ac:dyDescent="0.25">
      <c r="D19" s="105"/>
      <c r="E19" s="106"/>
      <c r="F19" s="106"/>
      <c r="G19" s="106"/>
      <c r="H19" s="105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6">
        <v>1</v>
      </c>
      <c r="T19" s="106">
        <v>1</v>
      </c>
      <c r="U19" s="106"/>
      <c r="V19" s="106" t="s">
        <v>109</v>
      </c>
      <c r="W19" s="106" t="s">
        <v>109</v>
      </c>
      <c r="X19" s="106" t="s">
        <v>109</v>
      </c>
    </row>
    <row r="20" spans="4:24" ht="15" customHeight="1" x14ac:dyDescent="0.25">
      <c r="D20" s="105"/>
      <c r="E20" s="106"/>
      <c r="F20" s="106"/>
      <c r="G20" s="106"/>
      <c r="H20" s="105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6">
        <v>1</v>
      </c>
      <c r="T20" s="106">
        <v>1</v>
      </c>
      <c r="U20" s="106"/>
      <c r="V20" s="106" t="s">
        <v>109</v>
      </c>
      <c r="W20" s="106" t="s">
        <v>109</v>
      </c>
      <c r="X20" s="106" t="s">
        <v>109</v>
      </c>
    </row>
    <row r="21" spans="4:24" ht="15" customHeight="1" x14ac:dyDescent="0.25">
      <c r="D21" s="105"/>
      <c r="E21" s="106"/>
      <c r="F21" s="106"/>
      <c r="G21" s="106"/>
      <c r="H21" s="105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6">
        <v>1</v>
      </c>
      <c r="T21" s="106">
        <v>1</v>
      </c>
      <c r="U21" s="106"/>
      <c r="V21" s="106" t="s">
        <v>109</v>
      </c>
      <c r="W21" s="106" t="s">
        <v>109</v>
      </c>
      <c r="X21" s="106" t="s">
        <v>109</v>
      </c>
    </row>
    <row r="22" spans="4:24" ht="15" customHeight="1" x14ac:dyDescent="0.25">
      <c r="D22" s="105"/>
      <c r="E22" s="106"/>
      <c r="F22" s="106"/>
      <c r="G22" s="106"/>
      <c r="H22" s="105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6">
        <v>1</v>
      </c>
      <c r="T22" s="106">
        <v>1</v>
      </c>
      <c r="U22" s="106"/>
      <c r="V22" s="106" t="s">
        <v>109</v>
      </c>
      <c r="W22" s="106" t="s">
        <v>109</v>
      </c>
      <c r="X22" s="106" t="s">
        <v>109</v>
      </c>
    </row>
    <row r="23" spans="4:24" ht="15" customHeight="1" x14ac:dyDescent="0.25">
      <c r="D23" s="105"/>
      <c r="E23" s="106"/>
      <c r="F23" s="106"/>
      <c r="G23" s="106"/>
      <c r="H23" s="105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6">
        <v>1</v>
      </c>
      <c r="T23" s="106">
        <v>1</v>
      </c>
      <c r="U23" s="106"/>
      <c r="V23" s="106" t="s">
        <v>109</v>
      </c>
      <c r="W23" s="106" t="s">
        <v>109</v>
      </c>
      <c r="X23" s="106" t="s">
        <v>109</v>
      </c>
    </row>
    <row r="24" spans="4:24" ht="15" customHeight="1" x14ac:dyDescent="0.25">
      <c r="D24" s="105"/>
      <c r="E24" s="106"/>
      <c r="F24" s="106"/>
      <c r="G24" s="106"/>
      <c r="H24" s="105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6">
        <v>1</v>
      </c>
      <c r="T24" s="106">
        <v>1</v>
      </c>
      <c r="U24" s="106"/>
      <c r="V24" s="106" t="s">
        <v>109</v>
      </c>
      <c r="W24" s="106" t="s">
        <v>109</v>
      </c>
      <c r="X24" s="106" t="s">
        <v>109</v>
      </c>
    </row>
    <row r="25" spans="4:24" ht="15" customHeight="1" x14ac:dyDescent="0.25">
      <c r="D25" s="105"/>
      <c r="E25" s="106"/>
      <c r="F25" s="106"/>
      <c r="G25" s="106"/>
      <c r="H25" s="105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6">
        <v>1</v>
      </c>
      <c r="T25" s="106">
        <v>1</v>
      </c>
      <c r="U25" s="106"/>
      <c r="V25" s="106" t="s">
        <v>109</v>
      </c>
      <c r="W25" s="106" t="s">
        <v>109</v>
      </c>
      <c r="X25" s="106" t="s">
        <v>109</v>
      </c>
    </row>
    <row r="26" spans="4:24" ht="15" customHeight="1" x14ac:dyDescent="0.25">
      <c r="D26" s="105"/>
      <c r="E26" s="106"/>
      <c r="F26" s="106"/>
      <c r="G26" s="106"/>
      <c r="H26" s="105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6">
        <v>1</v>
      </c>
      <c r="T26" s="106">
        <v>1</v>
      </c>
      <c r="U26" s="106"/>
      <c r="V26" s="106" t="s">
        <v>109</v>
      </c>
      <c r="W26" s="106" t="s">
        <v>109</v>
      </c>
      <c r="X26" s="106" t="s">
        <v>109</v>
      </c>
    </row>
    <row r="27" spans="4:24" ht="15" customHeight="1" x14ac:dyDescent="0.25">
      <c r="D27" s="105"/>
      <c r="E27" s="106"/>
      <c r="F27" s="106"/>
      <c r="G27" s="106"/>
      <c r="H27" s="105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6">
        <v>1</v>
      </c>
      <c r="T27" s="106">
        <v>1</v>
      </c>
      <c r="U27" s="106"/>
      <c r="V27" s="106" t="s">
        <v>109</v>
      </c>
      <c r="W27" s="106" t="s">
        <v>109</v>
      </c>
      <c r="X27" s="106" t="s">
        <v>109</v>
      </c>
    </row>
    <row r="28" spans="4:24" ht="15" customHeight="1" x14ac:dyDescent="0.25">
      <c r="D28" s="105"/>
      <c r="E28" s="106"/>
      <c r="F28" s="106"/>
      <c r="G28" s="106"/>
      <c r="H28" s="105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6">
        <v>1</v>
      </c>
      <c r="T28" s="106">
        <v>1</v>
      </c>
      <c r="U28" s="106"/>
      <c r="V28" s="106" t="s">
        <v>109</v>
      </c>
      <c r="W28" s="106" t="s">
        <v>109</v>
      </c>
      <c r="X28" s="106" t="s">
        <v>109</v>
      </c>
    </row>
    <row r="29" spans="4:24" ht="15" customHeight="1" x14ac:dyDescent="0.25">
      <c r="D29" s="105"/>
      <c r="E29" s="106"/>
      <c r="F29" s="106"/>
      <c r="G29" s="106"/>
      <c r="H29" s="105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6">
        <v>1</v>
      </c>
      <c r="T29" s="106">
        <v>1</v>
      </c>
      <c r="U29" s="106"/>
      <c r="V29" s="106" t="s">
        <v>109</v>
      </c>
      <c r="W29" s="106" t="s">
        <v>109</v>
      </c>
      <c r="X29" s="106" t="s">
        <v>109</v>
      </c>
    </row>
    <row r="30" spans="4:24" ht="15" customHeight="1" x14ac:dyDescent="0.25">
      <c r="D30" s="105"/>
      <c r="E30" s="106"/>
      <c r="F30" s="106"/>
      <c r="G30" s="106"/>
      <c r="H30" s="105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6">
        <v>1</v>
      </c>
      <c r="T30" s="106">
        <v>1</v>
      </c>
      <c r="U30" s="106"/>
      <c r="V30" s="106" t="s">
        <v>109</v>
      </c>
      <c r="W30" s="106" t="s">
        <v>109</v>
      </c>
      <c r="X30" s="106" t="s">
        <v>109</v>
      </c>
    </row>
    <row r="31" spans="4:24" ht="15" customHeight="1" x14ac:dyDescent="0.25">
      <c r="D31" s="105"/>
      <c r="E31" s="106"/>
      <c r="F31" s="106"/>
      <c r="G31" s="106"/>
      <c r="H31" s="105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6">
        <v>1</v>
      </c>
      <c r="T31" s="106">
        <v>1</v>
      </c>
      <c r="U31" s="106"/>
      <c r="V31" s="106" t="s">
        <v>109</v>
      </c>
      <c r="W31" s="106" t="s">
        <v>109</v>
      </c>
      <c r="X31" s="106" t="s">
        <v>109</v>
      </c>
    </row>
    <row r="32" spans="4:24" ht="15" customHeight="1" x14ac:dyDescent="0.25">
      <c r="D32" s="105"/>
      <c r="E32" s="106"/>
      <c r="F32" s="106"/>
      <c r="G32" s="106"/>
      <c r="H32" s="105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6">
        <v>1</v>
      </c>
      <c r="T32" s="106">
        <v>1</v>
      </c>
      <c r="U32" s="106"/>
      <c r="V32" s="106" t="s">
        <v>109</v>
      </c>
      <c r="W32" s="106" t="s">
        <v>109</v>
      </c>
      <c r="X32" s="106" t="s">
        <v>109</v>
      </c>
    </row>
    <row r="33" spans="4:24" ht="15" customHeight="1" x14ac:dyDescent="0.25">
      <c r="D33" s="105"/>
      <c r="E33" s="106"/>
      <c r="F33" s="106"/>
      <c r="G33" s="106"/>
      <c r="H33" s="105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6">
        <v>1</v>
      </c>
      <c r="T33" s="106">
        <v>1</v>
      </c>
      <c r="U33" s="106"/>
      <c r="V33" s="106" t="s">
        <v>109</v>
      </c>
      <c r="W33" s="106" t="s">
        <v>109</v>
      </c>
      <c r="X33" s="106" t="s">
        <v>109</v>
      </c>
    </row>
    <row r="34" spans="4:24" ht="15" customHeight="1" x14ac:dyDescent="0.25">
      <c r="D34" s="105"/>
      <c r="E34" s="106"/>
      <c r="F34" s="106"/>
      <c r="G34" s="106"/>
      <c r="H34" s="105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6">
        <v>1</v>
      </c>
      <c r="T34" s="106">
        <v>1</v>
      </c>
      <c r="U34" s="106"/>
      <c r="V34" s="106" t="s">
        <v>109</v>
      </c>
      <c r="W34" s="106" t="s">
        <v>109</v>
      </c>
      <c r="X34" s="106" t="s">
        <v>109</v>
      </c>
    </row>
    <row r="35" spans="4:24" ht="15" customHeight="1" x14ac:dyDescent="0.25">
      <c r="D35" s="105"/>
      <c r="E35" s="106"/>
      <c r="F35" s="106"/>
      <c r="G35" s="106"/>
      <c r="H35" s="105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6">
        <v>1</v>
      </c>
      <c r="T35" s="106">
        <v>1</v>
      </c>
      <c r="U35" s="106"/>
      <c r="V35" s="106" t="s">
        <v>109</v>
      </c>
      <c r="W35" s="106" t="s">
        <v>109</v>
      </c>
      <c r="X35" s="106" t="s">
        <v>109</v>
      </c>
    </row>
    <row r="36" spans="4:24" ht="15" customHeight="1" x14ac:dyDescent="0.25">
      <c r="D36" s="105"/>
      <c r="E36" s="106"/>
      <c r="F36" s="106"/>
      <c r="G36" s="106"/>
      <c r="H36" s="105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6">
        <v>1</v>
      </c>
      <c r="T36" s="106">
        <v>1</v>
      </c>
      <c r="U36" s="106"/>
      <c r="V36" s="106" t="s">
        <v>109</v>
      </c>
      <c r="W36" s="106" t="s">
        <v>109</v>
      </c>
      <c r="X36" s="106" t="s">
        <v>109</v>
      </c>
    </row>
    <row r="38" spans="4:24" ht="15" customHeight="1" x14ac:dyDescent="0.25">
      <c r="D38" s="92" t="str">
        <f>VLOOKUP("#0063",translation,code,FALSE)</f>
        <v>Folgende Konservierungsmittel (einschließlich Formaldehydabspalter) sind enthalten:</v>
      </c>
    </row>
    <row r="40" spans="4:24" ht="15" customHeight="1" x14ac:dyDescent="0.25">
      <c r="D40" s="94" t="str">
        <f>VLOOKUP("#0064",translation,code,FALSE)</f>
        <v>Tabelle 2</v>
      </c>
    </row>
    <row r="41" spans="4:24" ht="15" customHeight="1" x14ac:dyDescent="0.25">
      <c r="D41" s="95" t="str">
        <f>VLOOKUP("#0054",translation,code,FALSE)</f>
        <v>Stoff</v>
      </c>
      <c r="E41" s="96" t="str">
        <f>VLOOKUP("#0055",translation,code,FALSE)</f>
        <v>CAS-Nr.</v>
      </c>
      <c r="F41" s="96" t="str">
        <f>VLOOKUP("#0056",translation,code,FALSE)</f>
        <v>EC-Nr.</v>
      </c>
      <c r="G41" s="96" t="str">
        <f>VLOOKUP("#0057",translation,code,FALSE)</f>
        <v>Einsatzmenge</v>
      </c>
    </row>
    <row r="42" spans="4:24" ht="15" customHeight="1" x14ac:dyDescent="0.25">
      <c r="D42" s="97"/>
      <c r="E42" s="98"/>
      <c r="F42" s="98"/>
      <c r="G42" s="98" t="str">
        <f>VLOOKUP("#0058",translation,code,FALSE)</f>
        <v>[Gew.-%]</v>
      </c>
    </row>
    <row r="43" spans="4:24" ht="15" customHeight="1" x14ac:dyDescent="0.25">
      <c r="D43" s="105"/>
      <c r="E43" s="106"/>
      <c r="F43" s="106"/>
      <c r="G43" s="106"/>
    </row>
    <row r="44" spans="4:24" ht="15" customHeight="1" x14ac:dyDescent="0.25">
      <c r="D44" s="105"/>
      <c r="E44" s="106"/>
      <c r="F44" s="106"/>
      <c r="G44" s="106"/>
    </row>
    <row r="45" spans="4:24" ht="15" customHeight="1" x14ac:dyDescent="0.25">
      <c r="D45" s="105"/>
      <c r="E45" s="106"/>
      <c r="F45" s="106"/>
      <c r="G45" s="106"/>
    </row>
    <row r="46" spans="4:24" ht="15" customHeight="1" x14ac:dyDescent="0.25">
      <c r="D46" s="105"/>
      <c r="E46" s="106"/>
      <c r="F46" s="106"/>
      <c r="G46" s="106"/>
    </row>
    <row r="47" spans="4:24" ht="15" customHeight="1" x14ac:dyDescent="0.25">
      <c r="D47" s="105"/>
      <c r="E47" s="106"/>
      <c r="F47" s="106"/>
      <c r="G47" s="106"/>
    </row>
    <row r="48" spans="4:24" ht="15" customHeight="1" x14ac:dyDescent="0.25">
      <c r="D48" s="105"/>
      <c r="E48" s="106"/>
      <c r="F48" s="106"/>
      <c r="G48" s="106"/>
    </row>
    <row r="49" spans="1:25" ht="15" customHeight="1" x14ac:dyDescent="0.25">
      <c r="D49" s="105"/>
      <c r="E49" s="106"/>
      <c r="F49" s="106"/>
      <c r="G49" s="106"/>
    </row>
    <row r="50" spans="1:25" ht="15" customHeight="1" x14ac:dyDescent="0.25">
      <c r="D50" s="105"/>
      <c r="E50" s="106"/>
      <c r="F50" s="106"/>
      <c r="G50" s="106"/>
    </row>
    <row r="51" spans="1:25" ht="15" customHeight="1" x14ac:dyDescent="0.25">
      <c r="D51" s="105"/>
      <c r="E51" s="106"/>
      <c r="F51" s="106"/>
      <c r="G51" s="106"/>
    </row>
    <row r="52" spans="1:25" ht="15" customHeight="1" x14ac:dyDescent="0.25">
      <c r="D52" s="105"/>
      <c r="E52" s="106"/>
      <c r="F52" s="106"/>
      <c r="G52" s="106"/>
    </row>
    <row r="54" spans="1:25" ht="15" customHeight="1" x14ac:dyDescent="0.25">
      <c r="B54" s="89"/>
      <c r="D54" s="92" t="str">
        <f>VLOOKUP("#0065",translation,code,FALSE)</f>
        <v>Wir bestätigen, dass das genannte Produkt neben den in den Tabellen 1 genannten Bestandteilen keine weiteren</v>
      </c>
    </row>
    <row r="55" spans="1:25" ht="15" customHeight="1" x14ac:dyDescent="0.25">
      <c r="D55" s="92" t="str">
        <f>VLOOKUP("#0066",translation,code,FALSE)</f>
        <v>entsprechend eingestuften Bestandteile enthält.</v>
      </c>
      <c r="G55" s="91" t="str">
        <f>IF(Information!$F$2=Text!$B$1,Text!$B$26,Text!$C$26)</f>
        <v>(großes "X" eintragen)</v>
      </c>
    </row>
    <row r="56" spans="1:25" ht="15" customHeight="1" x14ac:dyDescent="0.25">
      <c r="D56" s="92" t="str">
        <f>VLOOKUP("#0067",translation,code,FALSE)</f>
        <v>Ferner bestätigen wir, dass keine weiteren als die in Tabelle 2 genannten Konservierungsmitteln enthalten sind.</v>
      </c>
    </row>
    <row r="58" spans="1:25" ht="15" customHeight="1" x14ac:dyDescent="0.25">
      <c r="D58" s="102" t="str">
        <f>VLOOKUP("#0068",translation,code,FALSE)</f>
        <v>Bitte fahren Sie auf Tabellenblatt "Stoffgruppen - Substance groups" fort.</v>
      </c>
    </row>
    <row r="60" spans="1:25" ht="15" customHeight="1" x14ac:dyDescent="0.25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</row>
    <row r="61" spans="1:25" ht="15" customHeight="1" x14ac:dyDescent="0.25">
      <c r="C61" s="104" t="s">
        <v>93</v>
      </c>
      <c r="D61" s="91" t="str">
        <f>VLOOKUP("#0069",translation,code,FALSE)</f>
        <v>Konstitutionelle Bestandteile sind Stoffe, die dem Produkt als solche oder als Bestandteil von Gemischen zugegeben werden, um</v>
      </c>
    </row>
    <row r="62" spans="1:25" ht="15" customHeight="1" x14ac:dyDescent="0.25">
      <c r="C62" s="104"/>
      <c r="D62" s="91" t="str">
        <f>VLOOKUP("#0070",translation,code,FALSE)</f>
        <v>bestimmte Produkteigenschaften zu erreichen oder zu beeinflussen sowie Stoffe, die als chemische Spaltprodukte zur Erzielung</v>
      </c>
    </row>
    <row r="63" spans="1:25" ht="15" customHeight="1" x14ac:dyDescent="0.25">
      <c r="C63" s="104"/>
      <c r="D63" s="91" t="str">
        <f>VLOOKUP("#0071",translation,code,FALSE)</f>
        <v>der Produkteigenschaften erforderlich sind. Auf ein Minimum reduzierte Restmonomere fallen beispielsweise nicht darunter.</v>
      </c>
    </row>
    <row r="64" spans="1:25" ht="15" customHeight="1" x14ac:dyDescent="0.25">
      <c r="C64" s="104" t="s">
        <v>106</v>
      </c>
      <c r="D64" s="91" t="str">
        <f>VLOOKUP("#0072",translation,code,FALSE)</f>
        <v>Spezifische Konzentrationsgrenzwerte (aus der CLP-Verordnung)</v>
      </c>
    </row>
  </sheetData>
  <sheetProtection algorithmName="SHA-512" hashValue="361N7RKOrLe7sVSqWMBeWwMnewSJXNql2OvgHJtx+JluvzFcjp8toFgJrso2smE1h1rYX6m8zO/vk5EOXc3EHg==" saltValue="5k9EZnEJ6wjFxgHoveWiAA==" spinCount="100000" sheet="1" objects="1" scenarios="1" selectLockedCells="1"/>
  <mergeCells count="2">
    <mergeCell ref="I15:R15"/>
    <mergeCell ref="S15:T15"/>
  </mergeCells>
  <conditionalFormatting sqref="V17:X36">
    <cfRule type="expression" dxfId="44" priority="2">
      <formula>OR(V17="Ja",V17="Yes")</formula>
    </cfRule>
  </conditionalFormatting>
  <conditionalFormatting sqref="S17:T36">
    <cfRule type="cellIs" dxfId="43" priority="1" operator="notEqual">
      <formula>1</formula>
    </cfRule>
  </conditionalFormatting>
  <dataValidations count="2">
    <dataValidation type="list" allowBlank="1" showInputMessage="1" showErrorMessage="1" sqref="V17:X36" xr:uid="{244214CF-7A39-4589-A27F-4C826A398C9E}">
      <formula1>Jain</formula1>
    </dataValidation>
    <dataValidation type="list" allowBlank="1" showInputMessage="1" showErrorMessage="1" sqref="S17:T36" xr:uid="{21896160-C69E-43E1-A6D9-689F2AF3B659}">
      <formula1>"1,10,100,1000,10000"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8" id="{8196CADE-CB47-43F2-B987-FF3430D6164C}">
            <xm:f>OR(I17='H-Sätze - H phrases, TRGS, MAK'!$B$33:$B$38)</xm:f>
            <x14:dxf>
              <font>
                <b/>
                <i val="0"/>
                <color rgb="FFCC9900"/>
              </font>
            </x14:dxf>
          </x14:cfRule>
          <x14:cfRule type="expression" priority="159" id="{D1E30088-646C-4113-A6DC-98E2583B8EDC}">
            <xm:f>OR(I17='H-Sätze - H phrases, TRGS, MAK'!$B$39:$B$41)</xm:f>
            <x14:dxf>
              <font>
                <b/>
                <i val="0"/>
                <color rgb="FF3333FF"/>
              </font>
            </x14:dxf>
          </x14:cfRule>
          <x14:cfRule type="expression" priority="160" id="{70814D49-F694-4116-B07C-B71773B6D91D}">
            <xm:f>OR(I17='H-Sätze - H phrases, TRGS, MAK'!$B$42)</xm:f>
            <x14:dxf>
              <font>
                <b/>
                <i val="0"/>
                <color rgb="FF006699"/>
              </font>
            </x14:dxf>
          </x14:cfRule>
          <x14:cfRule type="expression" priority="161" id="{D4B9D07A-AA8C-4299-B4C9-55E98DF86F7E}">
            <xm:f>OR(I17='H-Sätze - H phrases, TRGS, MAK'!$B$28:$B$32)</xm:f>
            <x14:dxf>
              <font>
                <b/>
                <i val="0"/>
                <color rgb="FFCC00CC"/>
              </font>
            </x14:dxf>
          </x14:cfRule>
          <x14:cfRule type="expression" priority="162" id="{EB985BDF-0BD5-401B-92A3-DBC57EFC90B9}">
            <xm:f>OR(I17='H-Sätze - H phrases, TRGS, MAK'!$B$17:$B$27)</xm:f>
            <x14:dxf>
              <font>
                <b/>
                <i val="0"/>
                <color rgb="FF008000"/>
              </font>
            </x14:dxf>
          </x14:cfRule>
          <x14:cfRule type="expression" priority="163" id="{BA870FFD-D9FE-4C74-9D1D-AEFED5183A25}">
            <xm:f>OR(I17='H-Sätze - H phrases, TRGS, MAK'!$B$3:$B$16)</xm:f>
            <x14:dxf>
              <font>
                <b/>
                <i val="0"/>
                <color rgb="FFCC0000"/>
              </font>
            </x14:dxf>
          </x14:cfRule>
          <xm:sqref>I17:R36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7BE50-1377-4330-874F-CC9541B1F0A2}">
  <dimension ref="B2:Y71"/>
  <sheetViews>
    <sheetView topLeftCell="A4" workbookViewId="0">
      <selection activeCell="B10" sqref="B10"/>
    </sheetView>
  </sheetViews>
  <sheetFormatPr baseColWidth="10" defaultRowHeight="15" customHeight="1" outlineLevelCol="1" x14ac:dyDescent="0.25"/>
  <cols>
    <col min="1" max="1" width="1.42578125" style="108" customWidth="1"/>
    <col min="2" max="2" width="3.140625" style="108" customWidth="1"/>
    <col min="3" max="3" width="1.42578125" style="108" customWidth="1"/>
    <col min="4" max="4" width="35.28515625" style="108" customWidth="1"/>
    <col min="5" max="5" width="15.7109375" style="108" customWidth="1"/>
    <col min="6" max="6" width="12" style="108" customWidth="1"/>
    <col min="7" max="7" width="14.85546875" style="108" customWidth="1"/>
    <col min="8" max="13" width="7.28515625" style="109" customWidth="1"/>
    <col min="14" max="17" width="7.28515625" style="108" customWidth="1"/>
    <col min="18" max="18" width="1.42578125" style="108" customWidth="1"/>
    <col min="19" max="24" width="7.28515625" style="110" hidden="1" customWidth="1" outlineLevel="1"/>
    <col min="25" max="25" width="11.42578125" style="108" collapsed="1"/>
    <col min="26" max="16384" width="11.42578125" style="108"/>
  </cols>
  <sheetData>
    <row r="2" spans="2:24" ht="15" customHeight="1" x14ac:dyDescent="0.25">
      <c r="D2" s="90" t="str">
        <f>VLOOKUP("#0077",translation,code,FALSE)</f>
        <v>Angaben zu Bestandteilen des Produkt, die bestimmten Stoffgruppen angehören</v>
      </c>
    </row>
    <row r="4" spans="2:24" ht="15" customHeight="1" x14ac:dyDescent="0.25">
      <c r="D4" s="111" t="str">
        <f>VLOOKUP("#0116",translation,code,FALSE)</f>
        <v>Bitte füllen Sie zutreffendes aus.</v>
      </c>
      <c r="E4" s="91" t="str">
        <f>IF(Information!$F$2=Text!$B$1,Text!$B$26,Text!$C$26)</f>
        <v>(großes "X" eintragen)</v>
      </c>
    </row>
    <row r="5" spans="2:24" ht="15" customHeight="1" x14ac:dyDescent="0.25">
      <c r="D5" s="111"/>
      <c r="E5" s="91"/>
    </row>
    <row r="6" spans="2:24" ht="15" customHeight="1" x14ac:dyDescent="0.25">
      <c r="D6" s="112" t="str">
        <f>VLOOKUP("#0117",translation,code,FALSE)</f>
        <v>Sofern alle Vergabekriterien erfüllt werden sollen, müssen hier alle Punkt ausgefüllt werden.</v>
      </c>
    </row>
    <row r="7" spans="2:24" ht="15" customHeight="1" x14ac:dyDescent="0.25">
      <c r="D7" s="112" t="str">
        <f>VLOOKUP("#0118",translation,code,FALSE)</f>
        <v>Sofern Sie sich auf bestimmte Vergabekriterien beschränken möchten, beachten Sie bitte die in den Klammern angegeben Vergabekriterien.</v>
      </c>
    </row>
    <row r="9" spans="2:24" ht="15" customHeight="1" x14ac:dyDescent="0.25">
      <c r="D9" s="111" t="str">
        <f>VLOOKUP("#0119",translation,code,FALSE)</f>
        <v>Alkylphenolethoxylate</v>
      </c>
      <c r="H9" s="108"/>
      <c r="I9" s="108"/>
      <c r="J9" s="108"/>
      <c r="K9" s="108"/>
      <c r="L9" s="108"/>
      <c r="M9" s="108"/>
      <c r="S9" s="113" t="s">
        <v>328</v>
      </c>
      <c r="T9" s="113">
        <v>102</v>
      </c>
      <c r="U9" s="113">
        <v>113</v>
      </c>
      <c r="V9" s="113">
        <v>123</v>
      </c>
      <c r="W9" s="113">
        <v>198</v>
      </c>
      <c r="X9" s="113">
        <v>225</v>
      </c>
    </row>
    <row r="10" spans="2:24" ht="15" customHeight="1" x14ac:dyDescent="0.25">
      <c r="B10" s="89"/>
      <c r="D10" s="108" t="str">
        <f>VLOOKUP("#0120",translation,code,FALSE)</f>
        <v>Produkte, die Alkylphenolethoxylate (APEO) und/oder deren Derivate enthalten, werden nicht zugesetzt.</v>
      </c>
      <c r="H10" s="108"/>
      <c r="I10" s="108"/>
      <c r="J10" s="108"/>
      <c r="K10" s="108"/>
      <c r="L10" s="108"/>
      <c r="M10" s="108"/>
      <c r="S10" s="110" t="str">
        <f>IF(B10="","r","a")</f>
        <v>r</v>
      </c>
      <c r="T10" s="110" t="str">
        <f>IF(B10="","r","a")</f>
        <v>r</v>
      </c>
      <c r="U10" s="110" t="str">
        <f>IF(B10="","r","a")</f>
        <v>r</v>
      </c>
      <c r="V10" s="110" t="str">
        <f>IF(B10="","r","a")</f>
        <v>r</v>
      </c>
      <c r="W10" s="110" t="str">
        <f>IF(B10="","r","a")</f>
        <v>r</v>
      </c>
      <c r="X10" s="110" t="str">
        <f>IF(B10="","r","a")</f>
        <v>r</v>
      </c>
    </row>
    <row r="11" spans="2:24" ht="15" customHeight="1" x14ac:dyDescent="0.25">
      <c r="L11" s="108"/>
      <c r="M11" s="108"/>
    </row>
    <row r="12" spans="2:24" ht="15" customHeight="1" x14ac:dyDescent="0.25">
      <c r="D12" s="111" t="str">
        <f>VLOOKUP("#0121",translation,code,FALSE)</f>
        <v>Perfluorierte und polyfluorierte Chemikalien</v>
      </c>
      <c r="H12" s="108"/>
      <c r="I12" s="108"/>
      <c r="J12" s="108"/>
      <c r="K12" s="108"/>
      <c r="L12" s="108"/>
      <c r="M12" s="108"/>
      <c r="S12" s="113" t="s">
        <v>328</v>
      </c>
      <c r="T12" s="113">
        <v>102</v>
      </c>
      <c r="U12" s="113">
        <v>113</v>
      </c>
      <c r="V12" s="113">
        <v>123</v>
      </c>
      <c r="W12" s="113">
        <v>198</v>
      </c>
      <c r="X12" s="113">
        <v>225</v>
      </c>
    </row>
    <row r="13" spans="2:24" ht="15" customHeight="1" x14ac:dyDescent="0.25">
      <c r="B13" s="89"/>
      <c r="D13" s="108" t="str">
        <f>VLOOKUP("#0122",translation,code,FALSE)</f>
        <v>Per- und polyfluorierten Chemikalien (PFC) werden nicht eingesetzt.</v>
      </c>
      <c r="H13" s="108"/>
      <c r="I13" s="108"/>
      <c r="J13" s="108"/>
      <c r="K13" s="108"/>
      <c r="L13" s="108"/>
      <c r="M13" s="108"/>
      <c r="S13" s="110" t="str">
        <f>IF(B13="","r","a")</f>
        <v>r</v>
      </c>
      <c r="T13" s="110" t="str">
        <f>IF(B13="","r","a")</f>
        <v>r</v>
      </c>
      <c r="U13" s="110" t="str">
        <f>IF(B13="","r","a")</f>
        <v>r</v>
      </c>
      <c r="V13" s="110" t="str">
        <f>IF(B13="","r","a")</f>
        <v>r</v>
      </c>
      <c r="W13" s="110" t="str">
        <f>IF(B13="","r","a")</f>
        <v>r</v>
      </c>
      <c r="X13" s="110" t="str">
        <f>IF(B13="","r","a")</f>
        <v>r</v>
      </c>
    </row>
    <row r="14" spans="2:24" ht="15" customHeight="1" x14ac:dyDescent="0.25">
      <c r="D14" s="112" t="str">
        <f>VLOOKUP("#0123",translation,code,FALSE)</f>
        <v>Beispiele: Fluorcarbonharze und -dispersionen, perfluorierte Tenside, perfluorierte Sulfon- und Carbonsäuren, PFC behandelte Vorprodukte</v>
      </c>
      <c r="H14" s="108"/>
      <c r="I14" s="108"/>
      <c r="J14" s="108"/>
      <c r="K14" s="108"/>
      <c r="L14" s="108"/>
      <c r="M14" s="108"/>
    </row>
    <row r="15" spans="2:24" ht="15" customHeight="1" x14ac:dyDescent="0.25">
      <c r="D15" s="112" t="str">
        <f>VLOOKUP("#0124",translation,code,FALSE)</f>
        <v>und Stoffe, die zu diesen abgebaut werden können.</v>
      </c>
      <c r="H15" s="108"/>
      <c r="I15" s="108"/>
      <c r="J15" s="108"/>
      <c r="K15" s="108"/>
      <c r="L15" s="108"/>
      <c r="M15" s="108"/>
    </row>
    <row r="16" spans="2:24" ht="15" customHeight="1" x14ac:dyDescent="0.25">
      <c r="L16" s="108"/>
      <c r="M16" s="108"/>
    </row>
    <row r="17" spans="2:24" ht="15" customHeight="1" x14ac:dyDescent="0.25">
      <c r="D17" s="111" t="str">
        <f>VLOOKUP("#0125",translation,code,FALSE)</f>
        <v>Pigmente</v>
      </c>
      <c r="H17" s="108"/>
      <c r="I17" s="108"/>
      <c r="J17" s="108"/>
      <c r="K17" s="108"/>
      <c r="L17" s="108"/>
      <c r="M17" s="108"/>
      <c r="S17" s="113" t="s">
        <v>328</v>
      </c>
      <c r="T17" s="113">
        <v>102</v>
      </c>
      <c r="U17" s="113">
        <v>113</v>
      </c>
      <c r="V17" s="113">
        <v>123</v>
      </c>
      <c r="W17" s="113">
        <v>198</v>
      </c>
      <c r="X17" s="113">
        <v>225</v>
      </c>
    </row>
    <row r="18" spans="2:24" ht="15" customHeight="1" x14ac:dyDescent="0.25">
      <c r="B18" s="89"/>
      <c r="D18" s="108" t="str">
        <f>VLOOKUP("#0126",translation,code,FALSE)</f>
        <v>Pigmente, die Bleiverbindungen enthalten, werden nicht zugesetzt.</v>
      </c>
      <c r="H18" s="108"/>
      <c r="I18" s="108"/>
      <c r="J18" s="108"/>
      <c r="K18" s="108"/>
      <c r="L18" s="108"/>
      <c r="M18" s="108"/>
      <c r="S18" s="110" t="str">
        <f>IF(B18="","r","a")</f>
        <v>r</v>
      </c>
      <c r="T18" s="110" t="str">
        <f>IF(B18="","r","a")</f>
        <v>r</v>
      </c>
      <c r="V18" s="110" t="str">
        <f>IF(B18="","r","a")</f>
        <v>r</v>
      </c>
      <c r="W18" s="110" t="str">
        <f>IF(B18="","r","a")</f>
        <v>r</v>
      </c>
      <c r="X18" s="110" t="str">
        <f>IF(B18="","r","a")</f>
        <v>r</v>
      </c>
    </row>
    <row r="19" spans="2:24" ht="15" customHeight="1" x14ac:dyDescent="0.25">
      <c r="D19" s="108" t="str">
        <f>VLOOKUP("#0127",translation,code,FALSE)</f>
        <v>Prozessbedingte, technisch unvermeidbare Blei-Verunreinigungen sind enthalten mit:</v>
      </c>
      <c r="H19" s="108"/>
      <c r="I19" s="108"/>
      <c r="J19" s="50"/>
      <c r="K19" s="108" t="s">
        <v>334</v>
      </c>
      <c r="L19" s="108"/>
      <c r="M19" s="108"/>
      <c r="S19" s="110" t="str">
        <f>IF(J19="","s",IF(J19&lt;200,"a","r"))</f>
        <v>s</v>
      </c>
      <c r="T19" s="110" t="str">
        <f>IF(J19="","s",IF(J19&lt;200,"a","r"))</f>
        <v>s</v>
      </c>
      <c r="V19" s="110" t="str">
        <f>IF(J19="","s",IF(J19&lt;200,"a","r"))</f>
        <v>s</v>
      </c>
      <c r="W19" s="110" t="str">
        <f>IF(J19="","s",IF(J19&lt;200,"a","r"))</f>
        <v>s</v>
      </c>
      <c r="X19" s="110" t="str">
        <f>IF(J19="","s",IF(J19&lt;200,"a","r"))</f>
        <v>s</v>
      </c>
    </row>
    <row r="20" spans="2:24" ht="15" customHeight="1" x14ac:dyDescent="0.25">
      <c r="L20" s="108"/>
      <c r="M20" s="108"/>
    </row>
    <row r="21" spans="2:24" ht="15" customHeight="1" x14ac:dyDescent="0.25">
      <c r="D21" s="111" t="str">
        <f>VLOOKUP("#0128",translation,code,FALSE)</f>
        <v>Weichmacher</v>
      </c>
      <c r="S21" s="113" t="s">
        <v>328</v>
      </c>
      <c r="T21" s="113">
        <v>102</v>
      </c>
      <c r="U21" s="113">
        <v>113</v>
      </c>
      <c r="V21" s="113">
        <v>123</v>
      </c>
      <c r="W21" s="113">
        <v>198</v>
      </c>
      <c r="X21" s="113">
        <v>225</v>
      </c>
    </row>
    <row r="22" spans="2:24" ht="15" customHeight="1" x14ac:dyDescent="0.25">
      <c r="B22" s="89"/>
      <c r="D22" s="108" t="str">
        <f>VLOOKUP("#0129",translation,code,FALSE)</f>
        <v>Weichmacher aus der Gruppe der Phthalate sind dem Produkt nicht zugesetzt.</v>
      </c>
      <c r="S22" s="110" t="str">
        <f>IF(B22="","r","a")</f>
        <v>r</v>
      </c>
      <c r="T22" s="110" t="str">
        <f>IF(B22="","r","a")</f>
        <v>r</v>
      </c>
      <c r="U22" s="110" t="str">
        <f>IF(B22="","r","a")</f>
        <v>r</v>
      </c>
      <c r="V22" s="110" t="str">
        <f>IF(B22="","r","a")</f>
        <v>r</v>
      </c>
      <c r="W22" s="110" t="str">
        <f>IF(B22="","r","a")</f>
        <v>r</v>
      </c>
      <c r="X22" s="110" t="str">
        <f>IF(B22="","r","a")</f>
        <v>r</v>
      </c>
    </row>
    <row r="23" spans="2:24" ht="15" customHeight="1" x14ac:dyDescent="0.25">
      <c r="B23" s="89"/>
      <c r="D23" s="108" t="str">
        <f>VLOOKUP("#0130",translation,code,FALSE)</f>
        <v>Weichmacher aus der Gruppe der Organophosphate sind dem Produkt nicht zugesetzt.</v>
      </c>
      <c r="S23" s="110" t="str">
        <f>IF(B23="","r","a")</f>
        <v>r</v>
      </c>
      <c r="T23" s="110" t="str">
        <f>IF(B23="","r","a")</f>
        <v>r</v>
      </c>
      <c r="U23" s="110" t="str">
        <f>IF(B23="","r","a")</f>
        <v>r</v>
      </c>
      <c r="V23" s="110" t="str">
        <f>IF(B23="","r","a")</f>
        <v>r</v>
      </c>
      <c r="W23" s="110" t="str">
        <f>IF(B23="","r","a")</f>
        <v>r</v>
      </c>
      <c r="X23" s="110" t="str">
        <f>IF(B23="","r","a")</f>
        <v>r</v>
      </c>
    </row>
    <row r="24" spans="2:24" ht="15" customHeight="1" x14ac:dyDescent="0.25">
      <c r="B24" s="89"/>
      <c r="D24" s="108" t="str">
        <f>VLOOKUP("#0131",translation,code,FALSE)</f>
        <v>Weichmacher gemäß VdL-Richtlinie 01 sind dem Produkt nicht zugesetzt.</v>
      </c>
      <c r="H24" s="112" t="str">
        <f>VLOOKUP("#0133",translation,code,FALSE)</f>
        <v>(Die Auflistung ist im Tabellenblatt  "Weichmacher - Plasticisers, VOC" zu finden.)</v>
      </c>
      <c r="I24" s="108"/>
      <c r="J24" s="108"/>
      <c r="K24" s="108"/>
      <c r="L24" s="108"/>
      <c r="M24" s="108"/>
      <c r="S24" s="110" t="str">
        <f>IF(B24="","r","a")</f>
        <v>r</v>
      </c>
      <c r="T24" s="110" t="str">
        <f>IF(B24="","r","a")</f>
        <v>r</v>
      </c>
      <c r="W24" s="110" t="str">
        <f>IF(B24="","r","a")</f>
        <v>r</v>
      </c>
      <c r="X24" s="110" t="str">
        <f>IF(B24="","r","a")</f>
        <v>r</v>
      </c>
    </row>
    <row r="25" spans="2:24" ht="15" customHeight="1" x14ac:dyDescent="0.25">
      <c r="B25" s="89"/>
      <c r="D25" s="111" t="str">
        <f>VLOOKUP("#0132",translation,code,FALSE)</f>
        <v>Betrifft nur DE-UZ 113:</v>
      </c>
      <c r="E25" s="108" t="str">
        <f>VLOOKUP("#0134",translation,code,FALSE)</f>
        <v>Viskositätsregulierende Stoffe dürfen enthalten sein, sofern sie nach CLP-Verordnung kennzeichnungsfrei sind</v>
      </c>
      <c r="H25" s="108"/>
      <c r="I25" s="108"/>
      <c r="J25" s="108"/>
      <c r="K25" s="108"/>
      <c r="L25" s="108"/>
      <c r="M25" s="108"/>
      <c r="U25" s="110" t="str">
        <f>IF(B25="","s","ai")</f>
        <v>s</v>
      </c>
    </row>
    <row r="26" spans="2:24" ht="15" customHeight="1" x14ac:dyDescent="0.25">
      <c r="E26" s="108" t="str">
        <f>VLOOKUP("#0135",translation,code,FALSE)</f>
        <v xml:space="preserve">und eine bestimmte Menge nicht überschreiten. </v>
      </c>
      <c r="H26" s="108"/>
      <c r="I26" s="108"/>
      <c r="J26" s="108"/>
      <c r="K26" s="108"/>
      <c r="L26" s="108"/>
      <c r="M26" s="108"/>
    </row>
    <row r="27" spans="2:24" ht="15" customHeight="1" x14ac:dyDescent="0.25">
      <c r="D27" s="112" t="str">
        <f>VLOOKUP("#0136",translation,code,FALSE)</f>
        <v>Bitte listen Sie diese hier auf:</v>
      </c>
      <c r="H27" s="108"/>
      <c r="I27" s="108"/>
      <c r="J27" s="108"/>
      <c r="K27" s="108"/>
      <c r="L27" s="108"/>
      <c r="M27" s="108"/>
    </row>
    <row r="28" spans="2:24" ht="15" customHeight="1" x14ac:dyDescent="0.25">
      <c r="D28" s="95" t="str">
        <f>VLOOKUP("#0054",translation,code,FALSE)</f>
        <v>Stoff</v>
      </c>
      <c r="E28" s="96" t="str">
        <f>VLOOKUP("#0055",translation,code,FALSE)</f>
        <v>CAS-Nr.</v>
      </c>
      <c r="F28" s="96" t="str">
        <f>VLOOKUP("#0056",translation,code,FALSE)</f>
        <v>EC-Nr.</v>
      </c>
      <c r="G28" s="96" t="str">
        <f>VLOOKUP("#0057",translation,code,FALSE)</f>
        <v>Einsatzmenge</v>
      </c>
      <c r="H28" s="134" t="str">
        <f>VLOOKUP("#0053",translation,code,FALSE)</f>
        <v>H-Sätze (bitte ohne das H eintragen und pro Zelle nur ein H-Satz)</v>
      </c>
      <c r="I28" s="134"/>
      <c r="J28" s="134"/>
      <c r="K28" s="134"/>
      <c r="L28" s="134"/>
      <c r="M28" s="134"/>
      <c r="N28" s="134"/>
      <c r="O28" s="134"/>
      <c r="P28" s="134"/>
      <c r="Q28" s="134"/>
    </row>
    <row r="29" spans="2:24" ht="15" customHeight="1" x14ac:dyDescent="0.25">
      <c r="D29" s="97"/>
      <c r="E29" s="98"/>
      <c r="F29" s="98"/>
      <c r="G29" s="98" t="str">
        <f>VLOOKUP("#0058",translation,code,FALSE)</f>
        <v>[Gew.-%]</v>
      </c>
      <c r="H29" s="99"/>
      <c r="I29" s="100"/>
      <c r="J29" s="100"/>
      <c r="K29" s="100"/>
      <c r="L29" s="100"/>
      <c r="M29" s="100"/>
      <c r="N29" s="100"/>
      <c r="O29" s="100"/>
      <c r="P29" s="100"/>
      <c r="Q29" s="101"/>
    </row>
    <row r="30" spans="2:24" ht="15" customHeight="1" x14ac:dyDescent="0.25">
      <c r="D30" s="105"/>
      <c r="E30" s="106"/>
      <c r="F30" s="106"/>
      <c r="G30" s="106"/>
      <c r="H30" s="34"/>
      <c r="I30" s="107"/>
      <c r="J30" s="107"/>
      <c r="K30" s="107"/>
      <c r="L30" s="107"/>
      <c r="M30" s="107"/>
      <c r="N30" s="107"/>
      <c r="O30" s="107"/>
      <c r="P30" s="107"/>
      <c r="Q30" s="107"/>
      <c r="U30" s="109" t="str">
        <f>IF(AND($B$25="",G30=""),"",IF(AND($B$25&lt;&gt;"",G30=""),"X",G30))</f>
        <v/>
      </c>
    </row>
    <row r="31" spans="2:24" ht="15" customHeight="1" x14ac:dyDescent="0.25">
      <c r="D31" s="105"/>
      <c r="E31" s="106"/>
      <c r="F31" s="106"/>
      <c r="G31" s="106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U31" s="109" t="str">
        <f>IF(AND($B$25="",G31=""),"",IF(AND($B$25&lt;&gt;"",G31=""),"X",G31))</f>
        <v/>
      </c>
    </row>
    <row r="33" spans="2:24" ht="15" customHeight="1" x14ac:dyDescent="0.25">
      <c r="D33" s="111" t="str">
        <f>VLOOKUP("#0137",translation,code,FALSE)</f>
        <v>Oxime (betrifft nur DE-UZ 12a)</v>
      </c>
      <c r="S33" s="113" t="s">
        <v>328</v>
      </c>
      <c r="T33" s="113">
        <v>102</v>
      </c>
      <c r="U33" s="113">
        <v>113</v>
      </c>
      <c r="V33" s="113">
        <v>123</v>
      </c>
      <c r="W33" s="113">
        <v>198</v>
      </c>
      <c r="X33" s="113">
        <v>225</v>
      </c>
    </row>
    <row r="34" spans="2:24" ht="15" customHeight="1" x14ac:dyDescent="0.25">
      <c r="B34" s="89"/>
      <c r="D34" s="108" t="str">
        <f>VLOOKUP("#0138",translation,code,FALSE)</f>
        <v>Oxime und Vorprodukte, die Oxime enthalten, werden nicht zugesetzt.</v>
      </c>
      <c r="S34" s="110" t="str">
        <f>IF(B34="","r","a")</f>
        <v>r</v>
      </c>
    </row>
    <row r="36" spans="2:24" ht="15" customHeight="1" x14ac:dyDescent="0.25">
      <c r="D36" s="111" t="str">
        <f>VLOOKUP("#0139",translation,code,FALSE)</f>
        <v>Sikkative (betrifft nur DE-UZ 12a)</v>
      </c>
      <c r="H36" s="108"/>
      <c r="I36" s="108"/>
      <c r="J36" s="108"/>
      <c r="K36" s="108"/>
      <c r="L36" s="108"/>
      <c r="M36" s="108"/>
      <c r="S36" s="113" t="s">
        <v>328</v>
      </c>
      <c r="T36" s="113">
        <v>102</v>
      </c>
      <c r="U36" s="113">
        <v>113</v>
      </c>
      <c r="V36" s="113">
        <v>123</v>
      </c>
      <c r="W36" s="113">
        <v>198</v>
      </c>
      <c r="X36" s="113">
        <v>225</v>
      </c>
    </row>
    <row r="37" spans="2:24" ht="15" customHeight="1" x14ac:dyDescent="0.25">
      <c r="B37" s="89"/>
      <c r="D37" s="108" t="str">
        <f>VLOOKUP("#0140",translation,code,FALSE)</f>
        <v>Sikkative, die Bleiverbindungen enthalten, werden nicht zugesetzt.</v>
      </c>
      <c r="H37" s="108"/>
      <c r="I37" s="108"/>
      <c r="J37" s="108"/>
      <c r="K37" s="108"/>
      <c r="L37" s="108"/>
      <c r="M37" s="108"/>
      <c r="S37" s="110" t="str">
        <f>IF(B37="","r","a")</f>
        <v>r</v>
      </c>
    </row>
    <row r="38" spans="2:24" ht="15" customHeight="1" x14ac:dyDescent="0.25">
      <c r="D38" s="108" t="str">
        <f>VLOOKUP("#0141",translation,code,FALSE)</f>
        <v>Prozessbedingte, technisch unvermeidbare Blei-Verunreinigungen sind enthalten mit:</v>
      </c>
      <c r="H38" s="108"/>
      <c r="I38" s="108"/>
      <c r="J38" s="50"/>
      <c r="K38" s="108" t="s">
        <v>334</v>
      </c>
      <c r="L38" s="108"/>
      <c r="M38" s="108"/>
      <c r="S38" s="110" t="str">
        <f>IF(J38="","s",IF(J38&lt;200,"a","r"))</f>
        <v>s</v>
      </c>
    </row>
    <row r="39" spans="2:24" ht="15" customHeight="1" x14ac:dyDescent="0.25">
      <c r="L39" s="108"/>
      <c r="M39" s="108"/>
    </row>
    <row r="40" spans="2:24" ht="15" customHeight="1" x14ac:dyDescent="0.25">
      <c r="D40" s="111" t="str">
        <f>VLOOKUP("#0142",translation,code,FALSE)</f>
        <v>Restmonomere (betrifft nur DE-UZ 12a)</v>
      </c>
      <c r="S40" s="113" t="s">
        <v>328</v>
      </c>
      <c r="T40" s="113">
        <v>102</v>
      </c>
      <c r="U40" s="113">
        <v>113</v>
      </c>
      <c r="V40" s="113">
        <v>123</v>
      </c>
      <c r="W40" s="113">
        <v>198</v>
      </c>
      <c r="X40" s="113">
        <v>225</v>
      </c>
    </row>
    <row r="41" spans="2:24" ht="15" customHeight="1" x14ac:dyDescent="0.25">
      <c r="D41" s="108" t="str">
        <f>VLOOKUP("#0143",translation,code,FALSE)</f>
        <v xml:space="preserve">Restmonomere sind im Bindemittel enthalten mit: </v>
      </c>
      <c r="G41" s="50"/>
      <c r="H41" s="108" t="str">
        <f>VLOOKUP("#0145",translation,code,FALSE)</f>
        <v>Gew.-%</v>
      </c>
      <c r="I41" s="108"/>
      <c r="J41" s="108"/>
      <c r="K41" s="108"/>
      <c r="L41" s="108"/>
      <c r="M41" s="108"/>
      <c r="R41" s="113"/>
      <c r="S41" s="110" t="str">
        <f>IF(G41="","s",IF(G41&lt;0.05,"a","i"))</f>
        <v>s</v>
      </c>
      <c r="X41" s="114"/>
    </row>
    <row r="42" spans="2:24" ht="15" customHeight="1" x14ac:dyDescent="0.25">
      <c r="B42" s="89"/>
      <c r="D42" s="108" t="str">
        <f>VLOOKUP("#0144",translation,code,FALSE)</f>
        <v>Davon sind folgende Restmonomere spezifizert worden:</v>
      </c>
      <c r="H42" s="108"/>
      <c r="I42" s="108"/>
      <c r="J42" s="108"/>
      <c r="K42" s="108"/>
      <c r="L42" s="108"/>
      <c r="M42" s="108"/>
      <c r="R42" s="109"/>
      <c r="S42" s="110" t="str">
        <f>IF(S44&lt;0.05,"a","r")</f>
        <v>r</v>
      </c>
      <c r="X42" s="114"/>
    </row>
    <row r="43" spans="2:24" ht="15" customHeight="1" x14ac:dyDescent="0.25">
      <c r="D43" s="112" t="str">
        <f>VLOOKUP("#0136",translation,code,FALSE)</f>
        <v>Bitte listen Sie diese hier auf:</v>
      </c>
      <c r="H43" s="108"/>
      <c r="I43" s="108"/>
      <c r="J43" s="108"/>
      <c r="K43" s="108"/>
      <c r="L43" s="108"/>
      <c r="M43" s="108"/>
    </row>
    <row r="44" spans="2:24" ht="15" customHeight="1" x14ac:dyDescent="0.25">
      <c r="D44" s="95" t="str">
        <f>VLOOKUP("#0054",translation,code,FALSE)</f>
        <v>Stoff</v>
      </c>
      <c r="E44" s="96" t="str">
        <f>VLOOKUP("#0055",translation,code,FALSE)</f>
        <v>CAS-Nr.</v>
      </c>
      <c r="F44" s="96" t="str">
        <f>VLOOKUP("#0056",translation,code,FALSE)</f>
        <v>EC-Nr.</v>
      </c>
      <c r="G44" s="96" t="str">
        <f>VLOOKUP("#0057",translation,code,FALSE)</f>
        <v>Einsatzmenge</v>
      </c>
      <c r="H44" s="134" t="str">
        <f>VLOOKUP("#0053",translation,code,FALSE)</f>
        <v>H-Sätze (bitte ohne das H eintragen und pro Zelle nur ein H-Satz)</v>
      </c>
      <c r="I44" s="134"/>
      <c r="J44" s="134"/>
      <c r="K44" s="134"/>
      <c r="L44" s="134"/>
      <c r="M44" s="134"/>
      <c r="N44" s="134"/>
      <c r="O44" s="134"/>
      <c r="P44" s="134"/>
      <c r="Q44" s="134"/>
      <c r="S44" s="109" t="str">
        <f>IF(G41="","?",G41-SUM(S46:S51))</f>
        <v>?</v>
      </c>
    </row>
    <row r="45" spans="2:24" ht="15" customHeight="1" x14ac:dyDescent="0.25">
      <c r="D45" s="97"/>
      <c r="E45" s="98"/>
      <c r="F45" s="98"/>
      <c r="G45" s="98" t="str">
        <f>VLOOKUP("#0058",translation,code,FALSE)</f>
        <v>[Gew.-%]</v>
      </c>
      <c r="H45" s="99"/>
      <c r="I45" s="100"/>
      <c r="J45" s="100"/>
      <c r="K45" s="100"/>
      <c r="L45" s="100"/>
      <c r="M45" s="100"/>
      <c r="N45" s="100"/>
      <c r="O45" s="100"/>
      <c r="P45" s="100"/>
      <c r="Q45" s="101"/>
    </row>
    <row r="46" spans="2:24" ht="15" customHeight="1" x14ac:dyDescent="0.25">
      <c r="D46" s="105"/>
      <c r="E46" s="106"/>
      <c r="F46" s="106"/>
      <c r="G46" s="106"/>
      <c r="H46" s="34"/>
      <c r="I46" s="107"/>
      <c r="J46" s="107"/>
      <c r="K46" s="107"/>
      <c r="L46" s="107"/>
      <c r="M46" s="107"/>
      <c r="N46" s="107"/>
      <c r="O46" s="107"/>
      <c r="P46" s="107"/>
      <c r="Q46" s="107"/>
      <c r="S46" s="109" t="str">
        <f>IF(AND($B$42="",G46=""),"X",G46)</f>
        <v>X</v>
      </c>
    </row>
    <row r="47" spans="2:24" ht="15" customHeight="1" x14ac:dyDescent="0.25">
      <c r="D47" s="105"/>
      <c r="E47" s="106"/>
      <c r="F47" s="106"/>
      <c r="G47" s="106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S47" s="109" t="str">
        <f t="shared" ref="S47:S51" si="0">IF(AND($B$42="",G47=""),"X",G47)</f>
        <v>X</v>
      </c>
    </row>
    <row r="48" spans="2:24" ht="15" customHeight="1" x14ac:dyDescent="0.25">
      <c r="D48" s="105"/>
      <c r="E48" s="106"/>
      <c r="F48" s="106"/>
      <c r="G48" s="106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S48" s="109" t="str">
        <f t="shared" si="0"/>
        <v>X</v>
      </c>
    </row>
    <row r="49" spans="2:24" ht="15" customHeight="1" x14ac:dyDescent="0.25">
      <c r="D49" s="105"/>
      <c r="E49" s="106"/>
      <c r="F49" s="106"/>
      <c r="G49" s="106"/>
      <c r="H49" s="34"/>
      <c r="I49" s="107"/>
      <c r="J49" s="107"/>
      <c r="K49" s="107"/>
      <c r="L49" s="107"/>
      <c r="M49" s="107"/>
      <c r="N49" s="107"/>
      <c r="O49" s="107"/>
      <c r="P49" s="107"/>
      <c r="Q49" s="107"/>
      <c r="S49" s="109" t="str">
        <f t="shared" si="0"/>
        <v>X</v>
      </c>
    </row>
    <row r="50" spans="2:24" ht="15" customHeight="1" x14ac:dyDescent="0.25">
      <c r="D50" s="105"/>
      <c r="E50" s="106"/>
      <c r="F50" s="106"/>
      <c r="G50" s="106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S50" s="109" t="str">
        <f t="shared" si="0"/>
        <v>X</v>
      </c>
    </row>
    <row r="51" spans="2:24" ht="15" customHeight="1" x14ac:dyDescent="0.25">
      <c r="D51" s="105"/>
      <c r="E51" s="106"/>
      <c r="F51" s="106"/>
      <c r="G51" s="106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S51" s="109" t="str">
        <f t="shared" si="0"/>
        <v>X</v>
      </c>
    </row>
    <row r="52" spans="2:24" ht="15" customHeight="1" x14ac:dyDescent="0.25">
      <c r="L52" s="108"/>
      <c r="M52" s="108"/>
    </row>
    <row r="53" spans="2:24" ht="15" customHeight="1" x14ac:dyDescent="0.25">
      <c r="D53" s="111" t="str">
        <f>VLOOKUP("#0146",translation,code,FALSE)</f>
        <v>Oxidierbare Fettsäuren und Fettsäureester (betrifft nur DE-UZ 113)</v>
      </c>
      <c r="H53" s="108"/>
      <c r="I53" s="108"/>
      <c r="J53" s="108"/>
      <c r="K53" s="108"/>
      <c r="L53" s="108"/>
      <c r="M53" s="108"/>
      <c r="S53" s="113" t="s">
        <v>328</v>
      </c>
      <c r="T53" s="113">
        <v>102</v>
      </c>
      <c r="U53" s="113">
        <v>113</v>
      </c>
      <c r="V53" s="113">
        <v>123</v>
      </c>
      <c r="W53" s="113">
        <v>198</v>
      </c>
      <c r="X53" s="113">
        <v>225</v>
      </c>
    </row>
    <row r="54" spans="2:24" ht="15" customHeight="1" x14ac:dyDescent="0.25">
      <c r="B54" s="89"/>
      <c r="D54" s="108" t="str">
        <f>VLOOKUP("#0147",translation,code,FALSE)</f>
        <v>Polymerdispersionen, Harze oder vergleichbare Bestandteile enthalten keine oxidierbaren Fettsäuren oder Fettsäureester als konstitutionelle Bestandteile.</v>
      </c>
      <c r="H54" s="108"/>
      <c r="I54" s="108"/>
      <c r="J54" s="108"/>
      <c r="K54" s="108"/>
      <c r="L54" s="108"/>
      <c r="M54" s="108"/>
      <c r="U54" s="110" t="str">
        <f>IF(B54="","r","a")</f>
        <v>r</v>
      </c>
    </row>
    <row r="55" spans="2:24" ht="15" customHeight="1" x14ac:dyDescent="0.25">
      <c r="D55" s="112" t="str">
        <f>VLOOKUP("#0148",translation,code,FALSE)</f>
        <v>Beipsiele: Tallöle, Ölsäure, etc.</v>
      </c>
      <c r="L55" s="108"/>
      <c r="M55" s="108"/>
    </row>
    <row r="56" spans="2:24" ht="15" customHeight="1" x14ac:dyDescent="0.25">
      <c r="L56" s="108"/>
      <c r="M56" s="108"/>
    </row>
    <row r="57" spans="2:24" ht="15" customHeight="1" x14ac:dyDescent="0.25">
      <c r="D57" s="111" t="str">
        <f>VLOOKUP("#0149",translation,code,FALSE)</f>
        <v>Zinnorganische Verbindungen (betrifft nur DE-UZ 113 und DE-UZ 123)</v>
      </c>
      <c r="H57" s="108"/>
      <c r="I57" s="108"/>
      <c r="J57" s="108"/>
      <c r="K57" s="108"/>
      <c r="L57" s="108"/>
      <c r="M57" s="108"/>
      <c r="S57" s="113" t="s">
        <v>328</v>
      </c>
      <c r="T57" s="113">
        <v>102</v>
      </c>
      <c r="U57" s="113">
        <v>113</v>
      </c>
      <c r="V57" s="113">
        <v>123</v>
      </c>
      <c r="W57" s="113">
        <v>198</v>
      </c>
      <c r="X57" s="113">
        <v>225</v>
      </c>
    </row>
    <row r="58" spans="2:24" ht="15" customHeight="1" x14ac:dyDescent="0.25">
      <c r="D58" s="108" t="str">
        <f>VLOOKUP("#0150",translation,code,FALSE)</f>
        <v>Als Katalysator für Vernetzungsreaktionen von SMP-Produkten wird folgende zinnorganische Verbindung verwendet:</v>
      </c>
      <c r="H58" s="108"/>
      <c r="I58" s="108"/>
      <c r="J58" s="108"/>
      <c r="K58" s="108"/>
      <c r="L58" s="108"/>
      <c r="M58" s="108"/>
      <c r="N58" s="112" t="s">
        <v>380</v>
      </c>
    </row>
    <row r="59" spans="2:24" ht="15" customHeight="1" x14ac:dyDescent="0.25">
      <c r="B59" s="89"/>
      <c r="D59" s="115" t="str">
        <f>VLOOKUP("#0151",translation,code,FALSE)</f>
        <v>Di-n-octyl-Zinn-dilaurat (CAS-Nr.: 3648-18-8)</v>
      </c>
      <c r="E59" s="116"/>
      <c r="H59" s="108"/>
      <c r="I59" s="108"/>
      <c r="J59" s="108"/>
      <c r="K59" s="108"/>
      <c r="L59" s="108"/>
      <c r="M59" s="108"/>
      <c r="U59" s="110" t="str">
        <f>IF(B59="","r","a")</f>
        <v>r</v>
      </c>
      <c r="V59" s="110" t="str">
        <f>IF(B59="","r","a")</f>
        <v>r</v>
      </c>
    </row>
    <row r="60" spans="2:24" ht="15" customHeight="1" x14ac:dyDescent="0.25">
      <c r="B60" s="89"/>
      <c r="D60" s="108" t="str">
        <f>VLOOKUP("#0152",translation,code,FALSE)</f>
        <v>Di-n-octyl-Zinn-dimaleinat</v>
      </c>
      <c r="H60" s="108"/>
      <c r="I60" s="108"/>
      <c r="J60" s="108"/>
      <c r="K60" s="108"/>
      <c r="L60" s="108"/>
      <c r="M60" s="108"/>
      <c r="U60" s="110" t="str">
        <f>IF(B60="","r","a")</f>
        <v>r</v>
      </c>
      <c r="V60" s="110" t="str">
        <f>IF(B60="","r","a")</f>
        <v>r</v>
      </c>
    </row>
    <row r="62" spans="2:24" ht="15" customHeight="1" x14ac:dyDescent="0.25">
      <c r="D62" s="111" t="str">
        <f>VLOOKUP("#0153",translation,code,FALSE)</f>
        <v>Flammschutzmittel (betrifft nur DE-UZ 225)</v>
      </c>
      <c r="S62" s="113" t="s">
        <v>328</v>
      </c>
      <c r="T62" s="113">
        <v>102</v>
      </c>
      <c r="U62" s="113">
        <v>113</v>
      </c>
      <c r="V62" s="113">
        <v>123</v>
      </c>
      <c r="W62" s="113">
        <v>198</v>
      </c>
      <c r="X62" s="113">
        <v>225</v>
      </c>
    </row>
    <row r="63" spans="2:24" ht="15" customHeight="1" x14ac:dyDescent="0.25">
      <c r="B63" s="89"/>
      <c r="D63" s="108" t="str">
        <f>VLOOKUP("#0154",translation,code,FALSE)</f>
        <v>Flammschutzmittel werden nicht eingesetzt.</v>
      </c>
      <c r="X63" s="110" t="str">
        <f>IF(B63="","r","a")</f>
        <v>r</v>
      </c>
    </row>
    <row r="65" spans="2:24" ht="15" customHeight="1" x14ac:dyDescent="0.25">
      <c r="D65" s="111" t="str">
        <f>VLOOKUP("#0155",translation,code,FALSE)</f>
        <v>Halogene (betrifft nur DE-UZ 225)</v>
      </c>
      <c r="S65" s="113" t="s">
        <v>328</v>
      </c>
      <c r="T65" s="113">
        <v>102</v>
      </c>
      <c r="U65" s="113">
        <v>113</v>
      </c>
      <c r="V65" s="113">
        <v>123</v>
      </c>
      <c r="W65" s="113">
        <v>198</v>
      </c>
      <c r="X65" s="113">
        <v>225</v>
      </c>
    </row>
    <row r="66" spans="2:24" ht="15" customHeight="1" x14ac:dyDescent="0.25">
      <c r="B66" s="89"/>
      <c r="D66" s="108" t="str">
        <f>VLOOKUP("#0156",translation,code,FALSE)</f>
        <v>Halogenierte organische Verbindungen werden nicht eingesetzt.</v>
      </c>
      <c r="X66" s="110" t="str">
        <f>IF(B66="","r","a")</f>
        <v>r</v>
      </c>
    </row>
    <row r="68" spans="2:24" ht="15" customHeight="1" x14ac:dyDescent="0.25">
      <c r="D68" s="111" t="str">
        <f>VLOOKUP("#0157",translation,code,FALSE)</f>
        <v>PVC (betrifft nur DE-UZ 225)</v>
      </c>
      <c r="S68" s="113" t="s">
        <v>328</v>
      </c>
      <c r="T68" s="113">
        <v>102</v>
      </c>
      <c r="U68" s="113">
        <v>113</v>
      </c>
      <c r="V68" s="113">
        <v>123</v>
      </c>
      <c r="W68" s="113">
        <v>198</v>
      </c>
      <c r="X68" s="113">
        <v>225</v>
      </c>
    </row>
    <row r="69" spans="2:24" ht="15" customHeight="1" x14ac:dyDescent="0.25">
      <c r="B69" s="89"/>
      <c r="D69" s="108" t="str">
        <f>VLOOKUP("#0158",translation,code,FALSE)</f>
        <v>PVC wird nicht zugesetzt.</v>
      </c>
      <c r="X69" s="110" t="str">
        <f>IF(B69="","r","a")</f>
        <v>r</v>
      </c>
    </row>
    <row r="71" spans="2:24" ht="15" customHeight="1" x14ac:dyDescent="0.25">
      <c r="D71" s="102" t="str">
        <f>VLOOKUP("#0160",translation,code,FALSE)</f>
        <v>Bitte fahren Sie auf Tabellenblatt "VOC - SVOC" fort.</v>
      </c>
    </row>
  </sheetData>
  <sheetProtection algorithmName="SHA-512" hashValue="Kffbn51O5lRCLTrcWZL1yY6nHMKa/fA1t4PcJOOmL5oJXNFD3jKgJMcmbD7QEChpqCQNeDEUZr0VtpYSVnxYMQ==" saltValue="Y2G2W82b3mb4SD8PlhwsgA==" spinCount="100000" sheet="1" objects="1" scenarios="1" selectLockedCells="1"/>
  <mergeCells count="2">
    <mergeCell ref="H28:Q28"/>
    <mergeCell ref="H44:Q44"/>
  </mergeCells>
  <conditionalFormatting sqref="E59">
    <cfRule type="duplicateValues" dxfId="36" priority="87"/>
  </conditionalFormatting>
  <conditionalFormatting sqref="S1:X28 S29:T29 V29:X29 S30:X1048576">
    <cfRule type="cellIs" dxfId="35" priority="6" operator="equal">
      <formula>"s"</formula>
    </cfRule>
    <cfRule type="cellIs" dxfId="34" priority="7" operator="equal">
      <formula>"a"</formula>
    </cfRule>
    <cfRule type="cellIs" dxfId="33" priority="8" operator="equal">
      <formula>"r"</formula>
    </cfRule>
  </conditionalFormatting>
  <conditionalFormatting sqref="S1:X1048576">
    <cfRule type="cellIs" dxfId="32" priority="1" operator="equal">
      <formula>"?"</formula>
    </cfRule>
    <cfRule type="cellIs" dxfId="31" priority="3" operator="equal">
      <formula>"ai"</formula>
    </cfRule>
    <cfRule type="cellIs" dxfId="30" priority="4" operator="equal">
      <formula>"i"</formula>
    </cfRule>
    <cfRule type="cellIs" dxfId="29" priority="5" operator="equal">
      <formula>"X"</formula>
    </cfRule>
  </conditionalFormatting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2" id="{3EF3D09F-D661-4588-8BE7-3B183F35D282}">
            <xm:f>OR(H30='H-Sätze - H phrases, TRGS, MAK'!$B$33:$B$38)</xm:f>
            <x14:dxf>
              <font>
                <b/>
                <i val="0"/>
                <color rgb="FFCC9900"/>
              </font>
            </x14:dxf>
          </x14:cfRule>
          <x14:cfRule type="expression" priority="173" id="{45366D6B-63C2-4075-9DC0-4C372753042E}">
            <xm:f>OR(H30='H-Sätze - H phrases, TRGS, MAK'!$B$39:$B$41)</xm:f>
            <x14:dxf>
              <font>
                <b/>
                <i val="0"/>
                <color rgb="FF3333FF"/>
              </font>
            </x14:dxf>
          </x14:cfRule>
          <x14:cfRule type="expression" priority="174" id="{B447B555-5379-42D6-B6B6-A4B6F5A57D38}">
            <xm:f>OR(H30='H-Sätze - H phrases, TRGS, MAK'!$B$42)</xm:f>
            <x14:dxf>
              <font>
                <b/>
                <i val="0"/>
                <color rgb="FF006699"/>
              </font>
            </x14:dxf>
          </x14:cfRule>
          <x14:cfRule type="expression" priority="175" id="{39B9A31A-C4B1-4AEA-A093-7E4C71BDE757}">
            <xm:f>OR(H30='H-Sätze - H phrases, TRGS, MAK'!$B$28:$B$32)</xm:f>
            <x14:dxf>
              <font>
                <b/>
                <i val="0"/>
                <color rgb="FFCC00CC"/>
              </font>
            </x14:dxf>
          </x14:cfRule>
          <x14:cfRule type="expression" priority="176" id="{7F940FA8-E591-4BCA-8CA5-B951645C248C}">
            <xm:f>OR(H30='H-Sätze - H phrases, TRGS, MAK'!$B$17:$B$27)</xm:f>
            <x14:dxf>
              <font>
                <b/>
                <i val="0"/>
                <color rgb="FF008000"/>
              </font>
            </x14:dxf>
          </x14:cfRule>
          <x14:cfRule type="expression" priority="177" id="{7A27A01D-AA0D-4BB3-8B54-8CD47CA1FDC6}">
            <xm:f>OR(H30='H-Sätze - H phrases, TRGS, MAK'!$B$3:$B$16)</xm:f>
            <x14:dxf>
              <font>
                <b/>
                <i val="0"/>
                <color rgb="FFCC0000"/>
              </font>
            </x14:dxf>
          </x14:cfRule>
          <xm:sqref>H30:Q31 H46:Q51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EBA91-77C7-4160-9976-DCFCBA4F844A}">
  <dimension ref="B2:X76"/>
  <sheetViews>
    <sheetView workbookViewId="0">
      <selection activeCell="B13" sqref="B13"/>
    </sheetView>
  </sheetViews>
  <sheetFormatPr baseColWidth="10" defaultRowHeight="15" customHeight="1" x14ac:dyDescent="0.25"/>
  <cols>
    <col min="1" max="1" width="1.42578125" style="108" customWidth="1"/>
    <col min="2" max="2" width="3.140625" style="108" customWidth="1"/>
    <col min="3" max="3" width="1.42578125" style="108" customWidth="1"/>
    <col min="4" max="4" width="37.7109375" style="108" customWidth="1"/>
    <col min="5" max="5" width="15.7109375" style="108" customWidth="1"/>
    <col min="6" max="6" width="12" style="108" customWidth="1"/>
    <col min="7" max="7" width="14.85546875" style="108" customWidth="1"/>
    <col min="8" max="13" width="11.42578125" style="109" customWidth="1"/>
    <col min="14" max="18" width="11.42578125" style="108" customWidth="1"/>
    <col min="19" max="24" width="11.42578125" style="109" customWidth="1"/>
    <col min="25" max="25" width="11.42578125" style="108" customWidth="1"/>
    <col min="26" max="16384" width="11.42578125" style="108"/>
  </cols>
  <sheetData>
    <row r="2" spans="2:24" ht="15" customHeight="1" x14ac:dyDescent="0.25">
      <c r="D2" s="90" t="str">
        <f>VLOOKUP("#0050",translation,code,FALSE)</f>
        <v>Angaben zu im Produkt enthaltenen VOC und SVOC</v>
      </c>
    </row>
    <row r="4" spans="2:24" ht="15" customHeight="1" x14ac:dyDescent="0.25">
      <c r="D4" s="111" t="str">
        <f>VLOOKUP("#0116",translation,code,FALSE)</f>
        <v>Bitte füllen Sie zutreffendes aus.</v>
      </c>
      <c r="E4" s="91" t="str">
        <f>IF(Information!$F$2=Text!$B$1,Text!$B$26,Text!$C$26)</f>
        <v>(großes "X" eintragen)</v>
      </c>
    </row>
    <row r="5" spans="2:24" ht="15" customHeight="1" x14ac:dyDescent="0.25">
      <c r="D5" s="111"/>
      <c r="E5" s="91"/>
    </row>
    <row r="6" spans="2:24" ht="15" customHeight="1" x14ac:dyDescent="0.25">
      <c r="D6" s="112" t="str">
        <f>VLOOKUP("#0161",translation,code,FALSE)</f>
        <v>Infos zu den VOC-Definitionen finden Sie in Tabellenblatt "Weichmacher - Plasticisers, VOC".</v>
      </c>
    </row>
    <row r="8" spans="2:24" ht="15" customHeight="1" x14ac:dyDescent="0.25">
      <c r="D8" s="117" t="str">
        <f>VLOOKUP("#0162",translation,code,FALSE)</f>
        <v>Hinweis: Für DE-UZ 12a werden die Angaben zu den VOC zwingend benötigt, da hier unter anderem eine Kalkulation der im Endprodukt</v>
      </c>
    </row>
    <row r="9" spans="2:24" ht="15" customHeight="1" x14ac:dyDescent="0.25">
      <c r="D9" s="117" t="str">
        <f>VLOOKUP("#0163",translation,code,FALSE)</f>
        <v>enthaltenen VOC vorgenommen wird. Ohne Angaben bei Punkt "Flüchtige organische Verbindungen (VOC) - Betrifft nur DE-UZ 12a"</v>
      </c>
    </row>
    <row r="10" spans="2:24" ht="15" customHeight="1" x14ac:dyDescent="0.25">
      <c r="B10" s="115"/>
      <c r="D10" s="118" t="str">
        <f>VLOOKUP("#0164",translation,code,FALSE)</f>
        <v>kann der Lackhersteller die Anforderungen aus Kapitel 3.1 dieser Kriterien nicht erfüllen.</v>
      </c>
      <c r="E10" s="115"/>
      <c r="F10" s="115"/>
      <c r="G10" s="119"/>
      <c r="H10" s="119"/>
      <c r="I10" s="119"/>
      <c r="J10" s="119"/>
      <c r="K10" s="119"/>
      <c r="L10" s="119"/>
      <c r="M10" s="115"/>
      <c r="N10" s="115"/>
      <c r="O10" s="115"/>
      <c r="P10" s="115"/>
      <c r="Q10" s="115"/>
      <c r="R10" s="119"/>
      <c r="S10" s="119"/>
      <c r="T10" s="119"/>
      <c r="U10" s="119"/>
      <c r="V10" s="119"/>
      <c r="W10" s="119"/>
      <c r="X10" s="108"/>
    </row>
    <row r="12" spans="2:24" ht="15" customHeight="1" x14ac:dyDescent="0.25">
      <c r="B12" s="115"/>
      <c r="D12" s="120" t="str">
        <f>VLOOKUP("#0165",translation,code,FALSE)</f>
        <v>Flüchtige organische Verbindungen (VOC) - allgemein</v>
      </c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9"/>
      <c r="T12" s="119"/>
      <c r="U12" s="119"/>
      <c r="V12" s="119"/>
      <c r="W12" s="119"/>
      <c r="X12" s="119"/>
    </row>
    <row r="13" spans="2:24" ht="15" customHeight="1" x14ac:dyDescent="0.25">
      <c r="B13" s="129"/>
      <c r="D13" s="108" t="str">
        <f>VLOOKUP("#0166",translation,code,FALSE)</f>
        <v>Das Produkt enthält keine VOC.</v>
      </c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9"/>
      <c r="T13" s="119"/>
      <c r="U13" s="119"/>
      <c r="V13" s="119"/>
      <c r="W13" s="119"/>
      <c r="X13" s="119"/>
    </row>
    <row r="14" spans="2:24" ht="15" customHeight="1" x14ac:dyDescent="0.25">
      <c r="B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9"/>
      <c r="T14" s="119"/>
      <c r="U14" s="119"/>
      <c r="V14" s="119"/>
      <c r="W14" s="119"/>
      <c r="X14" s="119"/>
    </row>
    <row r="15" spans="2:24" ht="15" customHeight="1" x14ac:dyDescent="0.25">
      <c r="D15" s="108" t="str">
        <f>VLOOKUP("#0167",translation,code,FALSE)</f>
        <v>Das Produkt enthält folgende VOC-Anteile:</v>
      </c>
      <c r="F15" s="50"/>
      <c r="G15" s="108" t="str">
        <f>VLOOKUP("#0145",translation,code,FALSE)</f>
        <v>Gew.-%</v>
      </c>
      <c r="H15" s="119"/>
      <c r="I15" s="119"/>
      <c r="J15" s="119"/>
      <c r="K15" s="119"/>
      <c r="L15" s="119"/>
      <c r="M15" s="119"/>
      <c r="N15" s="115"/>
      <c r="O15" s="115"/>
      <c r="P15" s="115"/>
      <c r="Q15" s="115"/>
      <c r="R15" s="115"/>
      <c r="S15" s="119"/>
      <c r="T15" s="119"/>
      <c r="U15" s="119"/>
      <c r="V15" s="119"/>
      <c r="W15" s="119"/>
      <c r="X15" s="119"/>
    </row>
    <row r="16" spans="2:24" ht="15" customHeight="1" x14ac:dyDescent="0.25">
      <c r="B16" s="129"/>
      <c r="D16" s="108" t="str">
        <f>VLOOKUP("#0168",translation,code,FALSE)</f>
        <v>Dieser VOC-Anteil wurde mittels Messung mit folgender Prüfmethode bestimmt:</v>
      </c>
      <c r="H16" s="115"/>
      <c r="I16" s="133"/>
      <c r="J16" s="133"/>
      <c r="K16" s="133"/>
      <c r="L16" s="133"/>
      <c r="M16" s="133"/>
      <c r="N16" s="133"/>
      <c r="O16" s="115"/>
      <c r="P16" s="115"/>
      <c r="Q16" s="115"/>
      <c r="R16" s="115"/>
      <c r="S16" s="119"/>
      <c r="T16" s="119"/>
      <c r="U16" s="119"/>
      <c r="V16" s="119"/>
      <c r="W16" s="119"/>
      <c r="X16" s="119"/>
    </row>
    <row r="17" spans="2:24" ht="15" customHeight="1" x14ac:dyDescent="0.25">
      <c r="B17" s="115"/>
      <c r="D17" s="108" t="str">
        <f>VLOOKUP("#0169",translation,code,FALSE)</f>
        <v>Die Messung umfasst den Bereich von</v>
      </c>
      <c r="F17" s="76"/>
      <c r="G17" s="109" t="str">
        <f>VLOOKUP("#0187",translation,code,FALSE)</f>
        <v>bis</v>
      </c>
      <c r="H17" s="76"/>
      <c r="I17" s="115"/>
      <c r="J17" s="119"/>
      <c r="K17" s="119"/>
      <c r="L17" s="119"/>
      <c r="M17" s="119"/>
      <c r="N17" s="115"/>
      <c r="O17" s="115"/>
      <c r="P17" s="115"/>
      <c r="Q17" s="115"/>
      <c r="R17" s="115"/>
      <c r="S17" s="119"/>
      <c r="T17" s="119"/>
      <c r="U17" s="119"/>
      <c r="V17" s="119"/>
      <c r="W17" s="119"/>
      <c r="X17" s="119"/>
    </row>
    <row r="18" spans="2:24" ht="15" customHeight="1" x14ac:dyDescent="0.25">
      <c r="B18" s="115"/>
      <c r="D18" s="112" t="str">
        <f>VLOOKUP("#0170",translation,code,FALSE)</f>
        <v>Bitte geben Sie zur Definition des Bereichs entweder die Markersubstanzen (z.B. n-Tetradecan), den Retentionsbereich (z.B. C16) oder die Siedepunte in °C an.</v>
      </c>
      <c r="H18" s="119"/>
      <c r="I18" s="119"/>
      <c r="J18" s="119"/>
      <c r="K18" s="119"/>
      <c r="L18" s="119"/>
      <c r="M18" s="119"/>
      <c r="N18" s="115"/>
      <c r="O18" s="115"/>
      <c r="P18" s="115"/>
      <c r="Q18" s="115"/>
      <c r="R18" s="115"/>
      <c r="S18" s="119"/>
      <c r="T18" s="119"/>
      <c r="U18" s="119"/>
      <c r="V18" s="119"/>
      <c r="W18" s="119"/>
      <c r="X18" s="119"/>
    </row>
    <row r="19" spans="2:24" ht="15" customHeight="1" x14ac:dyDescent="0.25">
      <c r="B19" s="129"/>
      <c r="D19" s="108" t="str">
        <f>VLOOKUP("#0171",translation,code,FALSE)</f>
        <v>Dieser VOC-Anteil wurde berechnet für den Bereich von</v>
      </c>
      <c r="G19" s="76"/>
      <c r="H19" s="109" t="s">
        <v>383</v>
      </c>
      <c r="I19" s="76"/>
      <c r="J19" s="119"/>
      <c r="K19" s="119"/>
      <c r="L19" s="119"/>
      <c r="M19" s="119"/>
      <c r="N19" s="115"/>
      <c r="O19" s="115"/>
      <c r="P19" s="115"/>
      <c r="Q19" s="115"/>
      <c r="R19" s="115"/>
      <c r="S19" s="119"/>
      <c r="T19" s="119"/>
      <c r="U19" s="119"/>
      <c r="V19" s="119"/>
      <c r="W19" s="119"/>
      <c r="X19" s="119"/>
    </row>
    <row r="20" spans="2:24" ht="15" customHeight="1" x14ac:dyDescent="0.25">
      <c r="B20" s="115"/>
      <c r="D20" s="112" t="str">
        <f>VLOOKUP("#0170",translation,code,FALSE)</f>
        <v>Bitte geben Sie zur Definition des Bereichs entweder die Markersubstanzen (z.B. n-Tetradecan), den Retentionsbereich (z.B. C16) oder die Siedepunte in °C an.</v>
      </c>
      <c r="H20" s="119"/>
      <c r="I20" s="119"/>
      <c r="J20" s="119"/>
      <c r="K20" s="119"/>
      <c r="L20" s="119"/>
      <c r="M20" s="119"/>
      <c r="N20" s="115"/>
      <c r="O20" s="115"/>
      <c r="P20" s="115"/>
      <c r="Q20" s="115"/>
      <c r="R20" s="115"/>
      <c r="S20" s="119"/>
      <c r="T20" s="119"/>
      <c r="U20" s="119"/>
      <c r="V20" s="119"/>
      <c r="W20" s="119"/>
      <c r="X20" s="119"/>
    </row>
    <row r="21" spans="2:24" ht="15" customHeight="1" x14ac:dyDescent="0.25">
      <c r="B21" s="115"/>
      <c r="D21" s="111"/>
      <c r="E21" s="120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9"/>
      <c r="T21" s="119"/>
      <c r="U21" s="119"/>
      <c r="V21" s="119"/>
      <c r="W21" s="119"/>
      <c r="X21" s="119"/>
    </row>
    <row r="22" spans="2:24" ht="15" customHeight="1" x14ac:dyDescent="0.25">
      <c r="B22" s="129"/>
      <c r="D22" s="77" t="str">
        <f>VLOOKUP("#0172",translation,code,FALSE)</f>
        <v>Wir erklären, dass wir diese Daten nicht liefern.</v>
      </c>
      <c r="E22" s="115"/>
      <c r="F22" s="115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119"/>
      <c r="R22" s="115"/>
      <c r="S22" s="119"/>
      <c r="T22" s="119"/>
      <c r="U22" s="119"/>
      <c r="V22" s="119"/>
      <c r="W22" s="119"/>
      <c r="X22" s="119"/>
    </row>
    <row r="23" spans="2:24" ht="15" customHeight="1" x14ac:dyDescent="0.25">
      <c r="E23" s="112"/>
    </row>
    <row r="24" spans="2:24" ht="15" customHeight="1" x14ac:dyDescent="0.25">
      <c r="B24" s="129"/>
      <c r="D24" s="115" t="str">
        <f>VLOOKUP("#0180",translation,code,FALSE)</f>
        <v>Für das oben genannte Produkt und weitere abgefragte Produkte wird eine Liste der VOC-Gehalte separat eingereicht.</v>
      </c>
      <c r="F24" s="115"/>
      <c r="G24" s="115"/>
      <c r="H24" s="119"/>
      <c r="I24" s="119"/>
      <c r="J24" s="119"/>
      <c r="K24" s="119"/>
      <c r="L24" s="119"/>
      <c r="M24" s="119"/>
      <c r="N24" s="115"/>
      <c r="O24" s="115"/>
      <c r="P24" s="115"/>
      <c r="Q24" s="115"/>
      <c r="R24" s="115"/>
      <c r="S24" s="119"/>
      <c r="T24" s="119"/>
      <c r="U24" s="119"/>
      <c r="V24" s="119"/>
      <c r="W24" s="119"/>
      <c r="X24" s="119"/>
    </row>
    <row r="25" spans="2:24" ht="15" customHeight="1" x14ac:dyDescent="0.25">
      <c r="D25" s="121"/>
      <c r="E25" s="122"/>
      <c r="F25" s="121"/>
      <c r="G25" s="121"/>
      <c r="H25" s="123"/>
    </row>
    <row r="26" spans="2:24" ht="15" customHeight="1" x14ac:dyDescent="0.25">
      <c r="B26" s="77"/>
      <c r="D26" s="78" t="str">
        <f>VLOOKUP("#0173",translation,code,FALSE)</f>
        <v>Flüchtige organische Verbindungen (VOC) - Betrifft nur DE-UZ 12a</v>
      </c>
      <c r="E26" s="115"/>
      <c r="F26" s="115"/>
      <c r="G26" s="91"/>
      <c r="H26" s="91"/>
      <c r="I26" s="91"/>
      <c r="J26" s="91"/>
      <c r="K26" s="91"/>
      <c r="L26" s="91"/>
      <c r="M26" s="91"/>
      <c r="N26" s="91"/>
      <c r="T26" s="119"/>
      <c r="U26" s="119"/>
      <c r="V26" s="119"/>
      <c r="W26" s="119"/>
      <c r="X26" s="119"/>
    </row>
    <row r="27" spans="2:24" ht="15" customHeight="1" x14ac:dyDescent="0.25">
      <c r="B27" s="77"/>
      <c r="D27" s="79" t="str">
        <f>VLOOKUP("#0174",translation,code,FALSE)</f>
        <v>WICHTIG: Definition VOC und SVOC gemäß DIN ISO 16000-6: VOC im Retentionsbereich C6 - C16 und SVOC &gt; C16 - C22!</v>
      </c>
      <c r="E27" s="124"/>
      <c r="F27" s="115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119"/>
      <c r="R27" s="115"/>
      <c r="S27" s="119"/>
      <c r="T27" s="119"/>
      <c r="U27" s="119"/>
      <c r="V27" s="119"/>
      <c r="W27" s="119"/>
      <c r="X27" s="119"/>
    </row>
    <row r="28" spans="2:24" ht="15" customHeight="1" x14ac:dyDescent="0.25"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9"/>
      <c r="S28" s="119"/>
      <c r="T28" s="119"/>
      <c r="U28" s="119"/>
      <c r="V28" s="119"/>
      <c r="W28" s="119"/>
      <c r="X28" s="108"/>
    </row>
    <row r="29" spans="2:24" ht="15" customHeight="1" x14ac:dyDescent="0.25">
      <c r="B29" s="129"/>
      <c r="C29" s="115"/>
      <c r="D29" s="115" t="str">
        <f>VLOOKUP("#0175",translation,code,FALSE)</f>
        <v>Das Produkt enthält keine VOC über 100 ppm pro Substanz im Retentionsbereich von C6 - C16 (Hexan bis Hexadecan).</v>
      </c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9"/>
      <c r="S29" s="119"/>
      <c r="T29" s="119"/>
      <c r="U29" s="119"/>
      <c r="V29" s="119"/>
      <c r="W29" s="119"/>
      <c r="X29" s="108"/>
    </row>
    <row r="30" spans="2:24" ht="15" customHeight="1" x14ac:dyDescent="0.25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9"/>
      <c r="S30" s="119"/>
      <c r="T30" s="119"/>
      <c r="U30" s="119"/>
      <c r="V30" s="119"/>
      <c r="W30" s="119"/>
      <c r="X30" s="108"/>
    </row>
    <row r="31" spans="2:24" ht="15" customHeight="1" x14ac:dyDescent="0.25">
      <c r="B31" s="129"/>
      <c r="D31" s="115" t="str">
        <f>VLOOKUP("#0176",translation,code,FALSE)</f>
        <v>Das Produkt enthält VOC über 100 ppm pro Substanz im Retentionsbereich von C6 - C16 (Hexan bis Hexadecan).</v>
      </c>
      <c r="E31" s="115"/>
      <c r="F31" s="115"/>
      <c r="G31" s="119"/>
      <c r="H31" s="119"/>
      <c r="I31" s="119"/>
      <c r="J31" s="119"/>
      <c r="K31" s="119"/>
      <c r="L31" s="119"/>
      <c r="M31" s="115"/>
      <c r="N31" s="115"/>
      <c r="O31" s="115"/>
      <c r="P31" s="115"/>
      <c r="Q31" s="115"/>
      <c r="R31" s="119"/>
      <c r="S31" s="119"/>
      <c r="T31" s="119"/>
      <c r="U31" s="119"/>
      <c r="V31" s="119"/>
      <c r="W31" s="119"/>
      <c r="X31" s="108"/>
    </row>
    <row r="32" spans="2:24" ht="15" customHeight="1" x14ac:dyDescent="0.25">
      <c r="B32" s="115"/>
      <c r="D32" s="115" t="str">
        <f>VLOOKUP("#0177",translation,code,FALSE)</f>
        <v>Hierzu stellen wir dem Lackhersteller oder RAL die Anlage V zur Verfügung.</v>
      </c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9"/>
      <c r="S32" s="119"/>
      <c r="T32" s="119"/>
      <c r="U32" s="119"/>
      <c r="V32" s="119"/>
      <c r="W32" s="119"/>
      <c r="X32" s="108"/>
    </row>
    <row r="33" spans="2:24" ht="15" customHeight="1" x14ac:dyDescent="0.25">
      <c r="B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9"/>
      <c r="S33" s="119"/>
      <c r="T33" s="119"/>
      <c r="U33" s="119"/>
      <c r="V33" s="119"/>
      <c r="W33" s="119"/>
      <c r="X33" s="108"/>
    </row>
    <row r="34" spans="2:24" ht="15" customHeight="1" x14ac:dyDescent="0.25">
      <c r="D34" s="108" t="str">
        <f>VLOOKUP("#0167",translation,code,FALSE)</f>
        <v>Das Produkt enthält folgende VOC-Anteile:</v>
      </c>
      <c r="F34" s="50"/>
      <c r="G34" s="108" t="str">
        <f>VLOOKUP("#0145",translation,code,FALSE)</f>
        <v>Gew.-%</v>
      </c>
      <c r="H34" s="119"/>
      <c r="I34" s="119"/>
      <c r="J34" s="119"/>
      <c r="K34" s="119"/>
      <c r="L34" s="119"/>
      <c r="M34" s="119"/>
      <c r="N34" s="115"/>
      <c r="O34" s="115"/>
      <c r="P34" s="115"/>
      <c r="Q34" s="115"/>
      <c r="R34" s="115"/>
      <c r="S34" s="119"/>
      <c r="T34" s="119"/>
      <c r="U34" s="119"/>
      <c r="V34" s="119"/>
      <c r="W34" s="119"/>
      <c r="X34" s="119"/>
    </row>
    <row r="35" spans="2:24" ht="15" customHeight="1" x14ac:dyDescent="0.25">
      <c r="B35" s="129"/>
      <c r="D35" s="108" t="str">
        <f>VLOOKUP("#0168",translation,code,FALSE)</f>
        <v>Dieser VOC-Anteil wurde mittels Messung mit folgender Prüfmethode bestimmt:</v>
      </c>
      <c r="H35" s="115"/>
      <c r="I35" s="133"/>
      <c r="J35" s="133"/>
      <c r="K35" s="133"/>
      <c r="L35" s="133"/>
      <c r="M35" s="133"/>
      <c r="N35" s="133"/>
      <c r="O35" s="115"/>
      <c r="P35" s="115"/>
      <c r="Q35" s="115"/>
      <c r="R35" s="115"/>
      <c r="S35" s="119"/>
      <c r="T35" s="119"/>
      <c r="U35" s="119"/>
      <c r="V35" s="119"/>
      <c r="W35" s="119"/>
      <c r="X35" s="119"/>
    </row>
    <row r="36" spans="2:24" ht="15" customHeight="1" x14ac:dyDescent="0.25">
      <c r="B36" s="115"/>
      <c r="D36" s="108" t="str">
        <f>VLOOKUP("#0169",translation,code,FALSE)</f>
        <v>Die Messung umfasst den Bereich von</v>
      </c>
      <c r="F36" s="76"/>
      <c r="G36" s="109" t="str">
        <f>VLOOKUP("#0187",translation,code,FALSE)</f>
        <v>bis</v>
      </c>
      <c r="H36" s="76"/>
      <c r="I36" s="108"/>
      <c r="J36" s="119"/>
      <c r="K36" s="119"/>
      <c r="L36" s="119"/>
      <c r="M36" s="119"/>
      <c r="N36" s="115"/>
      <c r="O36" s="115"/>
      <c r="P36" s="115"/>
      <c r="Q36" s="115"/>
      <c r="R36" s="115"/>
      <c r="S36" s="119"/>
      <c r="T36" s="119"/>
      <c r="U36" s="119"/>
      <c r="V36" s="119"/>
      <c r="W36" s="119"/>
      <c r="X36" s="119"/>
    </row>
    <row r="37" spans="2:24" ht="15" customHeight="1" x14ac:dyDescent="0.25">
      <c r="B37" s="115"/>
      <c r="D37" s="112" t="str">
        <f>VLOOKUP("#0170",translation,code,FALSE)</f>
        <v>Bitte geben Sie zur Definition des Bereichs entweder die Markersubstanzen (z.B. n-Tetradecan), den Retentionsbereich (z.B. C16) oder die Siedepunte in °C an.</v>
      </c>
      <c r="H37" s="119"/>
      <c r="I37" s="119"/>
      <c r="J37" s="119"/>
      <c r="K37" s="119"/>
      <c r="L37" s="119"/>
      <c r="M37" s="119"/>
      <c r="N37" s="115"/>
      <c r="O37" s="115"/>
      <c r="P37" s="115"/>
      <c r="Q37" s="115"/>
      <c r="R37" s="115"/>
      <c r="S37" s="119"/>
      <c r="T37" s="119"/>
      <c r="U37" s="119"/>
      <c r="V37" s="119"/>
      <c r="W37" s="119"/>
      <c r="X37" s="119"/>
    </row>
    <row r="38" spans="2:24" s="125" customFormat="1" ht="15" customHeight="1" x14ac:dyDescent="0.25">
      <c r="D38" s="126" t="str">
        <f>VLOOKUP("#0178",translation,code,FALSE)</f>
        <v>Hinweis: Sofern die Messung nicht den gesamten Retentionsbereich von C6 - C16 (Hexan bis Hexadecan) umfasst, müssen für den fehlenden Bereich weitere Angaben</v>
      </c>
      <c r="E38" s="127"/>
      <c r="G38" s="128"/>
      <c r="H38" s="128"/>
      <c r="I38" s="128"/>
      <c r="J38" s="128"/>
      <c r="K38" s="128"/>
      <c r="L38" s="128"/>
      <c r="R38" s="128"/>
      <c r="S38" s="128"/>
      <c r="T38" s="128"/>
      <c r="U38" s="128"/>
      <c r="V38" s="128"/>
      <c r="W38" s="128"/>
    </row>
    <row r="39" spans="2:24" s="125" customFormat="1" ht="15" customHeight="1" x14ac:dyDescent="0.25">
      <c r="D39" s="122" t="str">
        <f>VLOOKUP("#0179",translation,code,FALSE)</f>
        <v>gemacht werden. Da eine VOC-Messung keine weitere Unterteilung zulässt, wird der angegebene Wert als "worst-case Betrachtung" der Gruppe VOC D zugerechnet.</v>
      </c>
      <c r="G39" s="128"/>
      <c r="H39" s="128"/>
      <c r="I39" s="128"/>
      <c r="J39" s="128"/>
      <c r="K39" s="128"/>
      <c r="L39" s="128"/>
      <c r="R39" s="128"/>
      <c r="S39" s="128"/>
      <c r="T39" s="128"/>
      <c r="U39" s="128"/>
      <c r="V39" s="128"/>
      <c r="W39" s="128"/>
    </row>
    <row r="41" spans="2:24" ht="15" customHeight="1" x14ac:dyDescent="0.25">
      <c r="B41" s="115"/>
      <c r="D41" s="120" t="str">
        <f>VLOOKUP("#0181",translation,code,FALSE)</f>
        <v>Schwerflüchtige organische Verbindungen (SVOC)</v>
      </c>
      <c r="H41" s="119"/>
      <c r="I41" s="119"/>
      <c r="J41" s="119"/>
      <c r="K41" s="119"/>
      <c r="L41" s="119"/>
      <c r="M41" s="119"/>
      <c r="N41" s="115"/>
      <c r="O41" s="115"/>
      <c r="P41" s="115"/>
      <c r="Q41" s="115"/>
      <c r="R41" s="115"/>
      <c r="S41" s="119"/>
      <c r="T41" s="119"/>
      <c r="U41" s="119"/>
      <c r="V41" s="119"/>
      <c r="W41" s="119"/>
      <c r="X41" s="119"/>
    </row>
    <row r="42" spans="2:24" ht="15" customHeight="1" x14ac:dyDescent="0.25">
      <c r="B42" s="129"/>
      <c r="D42" s="108" t="str">
        <f>VLOOKUP("#0182",translation,code,FALSE)</f>
        <v>Das Produkt enthält keine SVOC.</v>
      </c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9"/>
      <c r="T42" s="119"/>
      <c r="U42" s="119"/>
      <c r="V42" s="119"/>
      <c r="W42" s="119"/>
      <c r="X42" s="119"/>
    </row>
    <row r="43" spans="2:24" ht="15" customHeight="1" x14ac:dyDescent="0.25">
      <c r="B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9"/>
      <c r="T43" s="119"/>
      <c r="U43" s="119"/>
      <c r="V43" s="119"/>
      <c r="W43" s="119"/>
      <c r="X43" s="119"/>
    </row>
    <row r="44" spans="2:24" ht="15" customHeight="1" x14ac:dyDescent="0.25">
      <c r="D44" s="108" t="str">
        <f>VLOOKUP("#0183",translation,code,FALSE)</f>
        <v>Das Produkt enthält folgende SVOC-Anteile:</v>
      </c>
      <c r="F44" s="50"/>
      <c r="G44" s="108" t="str">
        <f>VLOOKUP("#0145",translation,code,FALSE)</f>
        <v>Gew.-%</v>
      </c>
      <c r="H44" s="119"/>
      <c r="I44" s="119"/>
      <c r="J44" s="119"/>
      <c r="K44" s="119"/>
      <c r="L44" s="119"/>
      <c r="M44" s="119"/>
      <c r="N44" s="115"/>
      <c r="O44" s="115"/>
      <c r="P44" s="115"/>
      <c r="Q44" s="115"/>
      <c r="R44" s="115"/>
      <c r="S44" s="119"/>
      <c r="T44" s="119"/>
      <c r="U44" s="119"/>
      <c r="V44" s="119"/>
      <c r="W44" s="119"/>
      <c r="X44" s="119"/>
    </row>
    <row r="45" spans="2:24" ht="15" customHeight="1" x14ac:dyDescent="0.25">
      <c r="B45" s="129"/>
      <c r="D45" s="108" t="str">
        <f>VLOOKUP("#0184",translation,code,FALSE)</f>
        <v>Dieser SVOC-Anteil wurde mittels Messung mit folgender Prüfmethode bestimmt:</v>
      </c>
      <c r="H45" s="115"/>
      <c r="I45" s="133"/>
      <c r="J45" s="133"/>
      <c r="K45" s="133"/>
      <c r="L45" s="133"/>
      <c r="M45" s="133"/>
      <c r="N45" s="133"/>
    </row>
    <row r="46" spans="2:24" ht="15" customHeight="1" x14ac:dyDescent="0.25">
      <c r="B46" s="115"/>
      <c r="D46" s="108" t="str">
        <f>VLOOKUP("#0169",translation,code,FALSE)</f>
        <v>Die Messung umfasst den Bereich von</v>
      </c>
      <c r="F46" s="76"/>
      <c r="G46" s="109" t="str">
        <f>VLOOKUP("#0187",translation,code,FALSE)</f>
        <v>bis</v>
      </c>
      <c r="H46" s="76"/>
      <c r="I46" s="119"/>
      <c r="J46" s="119"/>
      <c r="K46" s="119"/>
      <c r="L46" s="119"/>
      <c r="M46" s="119"/>
      <c r="N46" s="115"/>
    </row>
    <row r="47" spans="2:24" ht="15" customHeight="1" x14ac:dyDescent="0.25">
      <c r="B47" s="115"/>
      <c r="D47" s="112" t="str">
        <f>VLOOKUP("#0170",translation,code,FALSE)</f>
        <v>Bitte geben Sie zur Definition des Bereichs entweder die Markersubstanzen (z.B. n-Tetradecan), den Retentionsbereich (z.B. C16) oder die Siedepunte in °C an.</v>
      </c>
      <c r="H47" s="119"/>
      <c r="I47" s="119"/>
      <c r="J47" s="119"/>
      <c r="K47" s="119"/>
      <c r="L47" s="119"/>
      <c r="M47" s="119"/>
      <c r="N47" s="115"/>
    </row>
    <row r="48" spans="2:24" ht="15" customHeight="1" x14ac:dyDescent="0.25">
      <c r="B48" s="129"/>
      <c r="D48" s="108" t="str">
        <f>VLOOKUP("#0185",translation,code,FALSE)</f>
        <v>Dieser SVOC-Anteil wurde berechnet für den Bereich von</v>
      </c>
      <c r="G48" s="76"/>
      <c r="H48" s="109" t="str">
        <f>VLOOKUP("#0187",translation,code,FALSE)</f>
        <v>bis</v>
      </c>
      <c r="I48" s="76"/>
      <c r="J48" s="108"/>
      <c r="K48" s="108"/>
      <c r="L48" s="119"/>
      <c r="M48" s="119"/>
      <c r="N48" s="115"/>
      <c r="O48" s="115"/>
      <c r="P48" s="115"/>
      <c r="Q48" s="115"/>
      <c r="R48" s="115"/>
      <c r="S48" s="119"/>
      <c r="T48" s="119"/>
      <c r="U48" s="119"/>
      <c r="V48" s="119"/>
      <c r="W48" s="119"/>
      <c r="X48" s="119"/>
    </row>
    <row r="49" spans="2:24" ht="15" customHeight="1" x14ac:dyDescent="0.25">
      <c r="B49" s="115"/>
      <c r="D49" s="112" t="str">
        <f>VLOOKUP("#0170",translation,code,FALSE)</f>
        <v>Bitte geben Sie zur Definition des Bereichs entweder die Markersubstanzen (z.B. n-Tetradecan), den Retentionsbereich (z.B. C16) oder die Siedepunte in °C an.</v>
      </c>
      <c r="H49" s="119"/>
      <c r="I49" s="119"/>
      <c r="J49" s="119"/>
      <c r="K49" s="119"/>
      <c r="L49" s="119"/>
      <c r="M49" s="119"/>
      <c r="N49" s="115"/>
    </row>
    <row r="51" spans="2:24" ht="15" customHeight="1" x14ac:dyDescent="0.25">
      <c r="B51" s="129"/>
      <c r="D51" s="77" t="str">
        <f>VLOOKUP("#0172",translation,code,FALSE)</f>
        <v>Wir erklären, dass wir diese Daten nicht liefern.</v>
      </c>
      <c r="F51" s="115"/>
      <c r="G51" s="115"/>
      <c r="H51" s="119"/>
      <c r="I51" s="119"/>
      <c r="J51" s="119"/>
      <c r="K51" s="119"/>
      <c r="L51" s="115"/>
      <c r="M51" s="115"/>
      <c r="N51" s="115"/>
      <c r="O51" s="115"/>
      <c r="P51" s="115"/>
      <c r="Q51" s="115"/>
      <c r="R51" s="115"/>
      <c r="S51" s="119"/>
      <c r="T51" s="119"/>
      <c r="U51" s="119"/>
      <c r="V51" s="119"/>
      <c r="W51" s="119"/>
      <c r="X51" s="119"/>
    </row>
    <row r="53" spans="2:24" ht="15" customHeight="1" x14ac:dyDescent="0.25">
      <c r="B53" s="129"/>
      <c r="D53" s="108" t="str">
        <f>VLOOKUP("#0186",translation,code,FALSE)</f>
        <v>Für das oben genannte Produkt und weitere abgefragte Produkte wird eine Liste der SVOC-Gehalte separat eingereicht.</v>
      </c>
    </row>
    <row r="55" spans="2:24" ht="15" customHeight="1" x14ac:dyDescent="0.25">
      <c r="H55" s="108"/>
      <c r="I55" s="108"/>
      <c r="J55" s="108"/>
      <c r="K55" s="108"/>
      <c r="L55" s="108"/>
      <c r="M55" s="108"/>
    </row>
    <row r="56" spans="2:24" ht="15" customHeight="1" x14ac:dyDescent="0.25">
      <c r="H56" s="108"/>
      <c r="I56" s="108"/>
      <c r="J56" s="108"/>
      <c r="K56" s="108"/>
      <c r="L56" s="108"/>
      <c r="M56" s="108"/>
    </row>
    <row r="57" spans="2:24" ht="15" customHeight="1" x14ac:dyDescent="0.25">
      <c r="H57" s="108"/>
      <c r="I57" s="108"/>
      <c r="J57" s="108"/>
      <c r="K57" s="108"/>
      <c r="L57" s="108"/>
      <c r="M57" s="108"/>
    </row>
    <row r="58" spans="2:24" ht="15" customHeight="1" x14ac:dyDescent="0.25">
      <c r="H58" s="108"/>
      <c r="I58" s="108"/>
      <c r="J58" s="108"/>
      <c r="K58" s="108"/>
      <c r="L58" s="108"/>
      <c r="M58" s="108"/>
    </row>
    <row r="59" spans="2:24" ht="15" customHeight="1" x14ac:dyDescent="0.25">
      <c r="H59" s="108"/>
      <c r="I59" s="108"/>
      <c r="J59" s="108"/>
      <c r="K59" s="108"/>
      <c r="L59" s="108"/>
      <c r="M59" s="108"/>
    </row>
    <row r="60" spans="2:24" ht="12.75" x14ac:dyDescent="0.25">
      <c r="H60" s="108"/>
      <c r="I60" s="108"/>
      <c r="J60" s="108"/>
      <c r="K60" s="108"/>
      <c r="L60" s="108"/>
      <c r="M60" s="108"/>
    </row>
    <row r="61" spans="2:24" ht="15" customHeight="1" x14ac:dyDescent="0.25">
      <c r="B61" s="115"/>
      <c r="D61" s="126"/>
      <c r="F61" s="115"/>
      <c r="G61" s="115"/>
      <c r="H61" s="119"/>
      <c r="I61" s="119"/>
      <c r="J61" s="119"/>
      <c r="K61" s="119"/>
      <c r="L61" s="119"/>
      <c r="M61" s="119"/>
      <c r="N61" s="115"/>
      <c r="O61" s="115"/>
      <c r="P61" s="115"/>
      <c r="Q61" s="115"/>
      <c r="R61" s="115"/>
      <c r="S61" s="119"/>
      <c r="T61" s="119"/>
      <c r="U61" s="119"/>
      <c r="V61" s="119"/>
      <c r="W61" s="119"/>
      <c r="X61" s="119"/>
    </row>
    <row r="62" spans="2:24" ht="15" customHeight="1" x14ac:dyDescent="0.25">
      <c r="B62" s="115"/>
      <c r="D62" s="115"/>
      <c r="E62" s="115"/>
      <c r="F62" s="115"/>
      <c r="G62" s="115"/>
      <c r="H62" s="119"/>
      <c r="I62" s="119"/>
      <c r="J62" s="119"/>
      <c r="K62" s="119"/>
      <c r="L62" s="115"/>
      <c r="M62" s="115"/>
      <c r="N62" s="115"/>
      <c r="O62" s="115"/>
      <c r="P62" s="115"/>
      <c r="Q62" s="115"/>
      <c r="R62" s="115"/>
      <c r="S62" s="119"/>
      <c r="T62" s="119"/>
      <c r="U62" s="119"/>
      <c r="V62" s="119"/>
      <c r="W62" s="119"/>
      <c r="X62" s="119"/>
    </row>
    <row r="63" spans="2:24" ht="15" customHeight="1" x14ac:dyDescent="0.25">
      <c r="B63" s="115"/>
      <c r="D63" s="115"/>
      <c r="E63" s="115"/>
      <c r="F63" s="115"/>
      <c r="G63" s="115"/>
      <c r="H63" s="119"/>
      <c r="I63" s="119"/>
      <c r="J63" s="119"/>
      <c r="K63" s="119"/>
      <c r="L63" s="115"/>
      <c r="M63" s="115"/>
      <c r="N63" s="115"/>
      <c r="O63" s="115"/>
      <c r="P63" s="115"/>
      <c r="Q63" s="115"/>
      <c r="R63" s="115"/>
      <c r="S63" s="119"/>
      <c r="T63" s="119"/>
      <c r="U63" s="119"/>
      <c r="V63" s="119"/>
      <c r="W63" s="119"/>
      <c r="X63" s="119"/>
    </row>
    <row r="64" spans="2:24" ht="15" customHeight="1" x14ac:dyDescent="0.25">
      <c r="B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9"/>
      <c r="T64" s="119"/>
      <c r="U64" s="119"/>
      <c r="V64" s="119"/>
      <c r="W64" s="119"/>
      <c r="X64" s="119"/>
    </row>
    <row r="65" spans="2:24" ht="15" customHeight="1" x14ac:dyDescent="0.25">
      <c r="B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9"/>
      <c r="T65" s="119"/>
      <c r="U65" s="119"/>
      <c r="V65" s="119"/>
      <c r="W65" s="119"/>
      <c r="X65" s="119"/>
    </row>
    <row r="66" spans="2:24" ht="15" customHeight="1" x14ac:dyDescent="0.25">
      <c r="B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9"/>
      <c r="T66" s="119"/>
      <c r="U66" s="119"/>
      <c r="V66" s="119"/>
      <c r="W66" s="119"/>
      <c r="X66" s="119"/>
    </row>
    <row r="67" spans="2:24" ht="15" customHeight="1" x14ac:dyDescent="0.25">
      <c r="B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9"/>
      <c r="T67" s="119"/>
      <c r="U67" s="119"/>
      <c r="V67" s="119"/>
      <c r="W67" s="119"/>
      <c r="X67" s="119"/>
    </row>
    <row r="68" spans="2:24" ht="15" customHeight="1" x14ac:dyDescent="0.25">
      <c r="B68" s="115"/>
      <c r="H68" s="119"/>
      <c r="I68" s="119"/>
      <c r="J68" s="119"/>
      <c r="K68" s="119"/>
      <c r="L68" s="119"/>
      <c r="M68" s="119"/>
      <c r="N68" s="115"/>
      <c r="O68" s="115"/>
      <c r="P68" s="115"/>
      <c r="Q68" s="115"/>
      <c r="R68" s="115"/>
      <c r="S68" s="119"/>
      <c r="T68" s="119"/>
      <c r="U68" s="119"/>
      <c r="V68" s="119"/>
      <c r="W68" s="119"/>
      <c r="X68" s="119"/>
    </row>
    <row r="69" spans="2:24" ht="15" customHeight="1" x14ac:dyDescent="0.25">
      <c r="B69" s="115"/>
      <c r="H69" s="119"/>
      <c r="I69" s="119"/>
      <c r="J69" s="119"/>
      <c r="K69" s="119"/>
      <c r="L69" s="119"/>
      <c r="M69" s="119"/>
      <c r="N69" s="115"/>
      <c r="O69" s="115"/>
      <c r="P69" s="115"/>
      <c r="Q69" s="115"/>
      <c r="R69" s="115"/>
      <c r="S69" s="119"/>
      <c r="T69" s="119"/>
      <c r="U69" s="119"/>
      <c r="V69" s="119"/>
      <c r="W69" s="119"/>
      <c r="X69" s="119"/>
    </row>
    <row r="70" spans="2:24" ht="15" customHeight="1" x14ac:dyDescent="0.25">
      <c r="B70" s="115"/>
      <c r="H70" s="119"/>
      <c r="I70" s="119"/>
      <c r="J70" s="119"/>
      <c r="K70" s="119"/>
      <c r="L70" s="119"/>
      <c r="M70" s="119"/>
      <c r="N70" s="115"/>
      <c r="O70" s="115"/>
      <c r="P70" s="115"/>
      <c r="Q70" s="115"/>
      <c r="R70" s="115"/>
      <c r="S70" s="119"/>
      <c r="T70" s="119"/>
      <c r="U70" s="119"/>
      <c r="V70" s="119"/>
      <c r="W70" s="119"/>
      <c r="X70" s="119"/>
    </row>
    <row r="71" spans="2:24" ht="15" customHeight="1" x14ac:dyDescent="0.25">
      <c r="B71" s="115"/>
      <c r="H71" s="119"/>
      <c r="I71" s="119"/>
      <c r="J71" s="119"/>
      <c r="K71" s="119"/>
      <c r="L71" s="119"/>
      <c r="M71" s="119"/>
      <c r="N71" s="115"/>
      <c r="O71" s="115"/>
      <c r="P71" s="115"/>
      <c r="Q71" s="115"/>
      <c r="R71" s="115"/>
      <c r="S71" s="119"/>
      <c r="T71" s="119"/>
      <c r="U71" s="119"/>
      <c r="V71" s="119"/>
      <c r="W71" s="119"/>
      <c r="X71" s="119"/>
    </row>
    <row r="72" spans="2:24" ht="15" customHeight="1" x14ac:dyDescent="0.25">
      <c r="B72" s="115"/>
      <c r="H72" s="119"/>
      <c r="I72" s="119"/>
      <c r="J72" s="119"/>
      <c r="K72" s="119"/>
      <c r="L72" s="119"/>
      <c r="M72" s="119"/>
      <c r="N72" s="115"/>
      <c r="O72" s="115"/>
      <c r="P72" s="115"/>
      <c r="Q72" s="115"/>
      <c r="R72" s="115"/>
      <c r="S72" s="119"/>
      <c r="T72" s="119"/>
      <c r="U72" s="119"/>
      <c r="V72" s="119"/>
      <c r="W72" s="119"/>
      <c r="X72" s="119"/>
    </row>
    <row r="73" spans="2:24" ht="15" customHeight="1" x14ac:dyDescent="0.25">
      <c r="B73" s="115"/>
      <c r="H73" s="119"/>
      <c r="I73" s="119"/>
      <c r="J73" s="119"/>
      <c r="K73" s="119"/>
      <c r="L73" s="119"/>
      <c r="M73" s="119"/>
      <c r="N73" s="115"/>
      <c r="O73" s="115"/>
      <c r="P73" s="115"/>
      <c r="Q73" s="115"/>
      <c r="R73" s="115"/>
      <c r="S73" s="119"/>
      <c r="T73" s="119"/>
      <c r="U73" s="119"/>
      <c r="V73" s="119"/>
      <c r="W73" s="119"/>
      <c r="X73" s="119"/>
    </row>
    <row r="74" spans="2:24" ht="15" customHeight="1" x14ac:dyDescent="0.25">
      <c r="B74" s="115"/>
      <c r="H74" s="119"/>
      <c r="I74" s="119"/>
      <c r="J74" s="119"/>
      <c r="K74" s="119"/>
      <c r="L74" s="119"/>
      <c r="M74" s="119"/>
      <c r="N74" s="115"/>
      <c r="O74" s="115"/>
      <c r="P74" s="115"/>
      <c r="Q74" s="115"/>
      <c r="R74" s="115"/>
      <c r="S74" s="119"/>
      <c r="T74" s="119"/>
      <c r="U74" s="119"/>
      <c r="V74" s="119"/>
      <c r="W74" s="119"/>
      <c r="X74" s="119"/>
    </row>
    <row r="75" spans="2:24" ht="15" customHeight="1" x14ac:dyDescent="0.25">
      <c r="B75" s="115"/>
      <c r="H75" s="119"/>
      <c r="I75" s="119"/>
      <c r="J75" s="119"/>
      <c r="K75" s="119"/>
      <c r="L75" s="119"/>
      <c r="M75" s="119"/>
      <c r="N75" s="115"/>
      <c r="O75" s="115"/>
      <c r="P75" s="115"/>
      <c r="Q75" s="115"/>
      <c r="R75" s="115"/>
      <c r="S75" s="119"/>
      <c r="T75" s="119"/>
      <c r="U75" s="119"/>
      <c r="V75" s="119"/>
      <c r="W75" s="119"/>
      <c r="X75" s="119"/>
    </row>
    <row r="76" spans="2:24" ht="15" customHeight="1" x14ac:dyDescent="0.25">
      <c r="H76" s="119"/>
      <c r="I76" s="119"/>
      <c r="J76" s="119"/>
      <c r="K76" s="119"/>
      <c r="L76" s="119"/>
      <c r="M76" s="119"/>
      <c r="N76" s="115"/>
      <c r="O76" s="115"/>
      <c r="P76" s="115"/>
      <c r="Q76" s="115"/>
      <c r="R76" s="115"/>
      <c r="S76" s="119"/>
      <c r="T76" s="119"/>
      <c r="U76" s="119"/>
      <c r="V76" s="119"/>
      <c r="W76" s="119"/>
      <c r="X76" s="119"/>
    </row>
  </sheetData>
  <mergeCells count="3">
    <mergeCell ref="I16:N16"/>
    <mergeCell ref="I35:N35"/>
    <mergeCell ref="I45:N45"/>
  </mergeCells>
  <conditionalFormatting sqref="D22">
    <cfRule type="duplicateValues" dxfId="22" priority="2"/>
  </conditionalFormatting>
  <conditionalFormatting sqref="D51">
    <cfRule type="duplicateValues" dxfId="21" priority="1"/>
  </conditionalFormatting>
  <conditionalFormatting sqref="D26:D27">
    <cfRule type="duplicateValues" dxfId="20" priority="198"/>
  </conditionalFormatting>
  <conditionalFormatting sqref="B26:B27">
    <cfRule type="duplicateValues" dxfId="19" priority="199"/>
  </conditionalFormatting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2" id="{2D789A37-7AC8-4B24-8A3A-DBF912442602}">
            <xm:f>OR(P21='H-Sätze - H phrases, TRGS, MAK'!$B$33:$B$38)</xm:f>
            <x14:dxf>
              <font>
                <b/>
                <i val="0"/>
                <color rgb="FFCC9900"/>
              </font>
            </x14:dxf>
          </x14:cfRule>
          <x14:cfRule type="expression" priority="193" id="{872FC6B8-C30D-45E6-82FD-CFB9967106A0}">
            <xm:f>OR(P21='H-Sätze - H phrases, TRGS, MAK'!$B$39:$B$41)</xm:f>
            <x14:dxf>
              <font>
                <b/>
                <i val="0"/>
                <color rgb="FF3333FF"/>
              </font>
            </x14:dxf>
          </x14:cfRule>
          <x14:cfRule type="expression" priority="194" id="{B7218F50-FF80-4D67-ADC7-F3118DF2C5A5}">
            <xm:f>OR(P21='H-Sätze - H phrases, TRGS, MAK'!$B$42)</xm:f>
            <x14:dxf>
              <font>
                <b/>
                <i val="0"/>
                <color rgb="FF006699"/>
              </font>
            </x14:dxf>
          </x14:cfRule>
          <x14:cfRule type="expression" priority="195" id="{B8561A03-6DA9-4744-9DEF-68C1A11DFD1A}">
            <xm:f>OR(P21='H-Sätze - H phrases, TRGS, MAK'!$B$28:$B$32)</xm:f>
            <x14:dxf>
              <font>
                <b/>
                <i val="0"/>
                <color rgb="FFCC00CC"/>
              </font>
            </x14:dxf>
          </x14:cfRule>
          <x14:cfRule type="expression" priority="196" id="{DE392129-406E-468D-8F7A-AF459AC8ADC5}">
            <xm:f>OR(P21='H-Sätze - H phrases, TRGS, MAK'!$B$17:$B$27)</xm:f>
            <x14:dxf>
              <font>
                <b/>
                <i val="0"/>
                <color rgb="FF008000"/>
              </font>
            </x14:dxf>
          </x14:cfRule>
          <x14:cfRule type="expression" priority="197" id="{D5CAE667-7F96-474E-AA9E-C74D2BDDF152}">
            <xm:f>OR(P21='H-Sätze - H phrases, TRGS, MAK'!$B$3:$B$16)</xm:f>
            <x14:dxf>
              <font>
                <b/>
                <i val="0"/>
                <color rgb="FFCC0000"/>
              </font>
            </x14:dxf>
          </x14:cfRule>
          <xm:sqref>Q21 P29:P33 Q27</xm:sqref>
        </x14:conditionalFormatting>
        <x14:conditionalFormatting xmlns:xm="http://schemas.microsoft.com/office/excel/2006/main">
          <x14:cfRule type="expression" priority="10" id="{DC3F8A4E-4B73-4C46-8F36-F438B0716AD5}">
            <xm:f>OR(Q22='H-Sätze - H phrases, TRGS, MAK'!$B$33:$B$38)</xm:f>
            <x14:dxf>
              <font>
                <b/>
                <i val="0"/>
                <color rgb="FFCC9900"/>
              </font>
            </x14:dxf>
          </x14:cfRule>
          <x14:cfRule type="expression" priority="11" id="{7A8A9813-67B3-4C70-87DC-FCBD4253AA1E}">
            <xm:f>OR(Q22='H-Sätze - H phrases, TRGS, MAK'!$B$39:$B$41)</xm:f>
            <x14:dxf>
              <font>
                <b/>
                <i val="0"/>
                <color rgb="FF3333FF"/>
              </font>
            </x14:dxf>
          </x14:cfRule>
          <x14:cfRule type="expression" priority="12" id="{82A1BA59-7541-4A9A-B640-DD0B9F3C03B4}">
            <xm:f>OR(Q22='H-Sätze - H phrases, TRGS, MAK'!$B$42)</xm:f>
            <x14:dxf>
              <font>
                <b/>
                <i val="0"/>
                <color rgb="FF006699"/>
              </font>
            </x14:dxf>
          </x14:cfRule>
          <x14:cfRule type="expression" priority="13" id="{06393F69-8402-4456-B46F-7FB7CFEAA1EA}">
            <xm:f>OR(Q22='H-Sätze - H phrases, TRGS, MAK'!$B$28:$B$32)</xm:f>
            <x14:dxf>
              <font>
                <b/>
                <i val="0"/>
                <color rgb="FFCC00CC"/>
              </font>
            </x14:dxf>
          </x14:cfRule>
          <x14:cfRule type="expression" priority="14" id="{F7D675EA-885A-4124-B9BA-F9C65049E90D}">
            <xm:f>OR(Q22='H-Sätze - H phrases, TRGS, MAK'!$B$17:$B$27)</xm:f>
            <x14:dxf>
              <font>
                <b/>
                <i val="0"/>
                <color rgb="FF008000"/>
              </font>
            </x14:dxf>
          </x14:cfRule>
          <x14:cfRule type="expression" priority="15" id="{B16A5223-0B85-4C84-BB8C-5410D6F35013}">
            <xm:f>OR(Q22='H-Sätze - H phrases, TRGS, MAK'!$B$3:$B$16)</xm:f>
            <x14:dxf>
              <font>
                <b/>
                <i val="0"/>
                <color rgb="FFCC0000"/>
              </font>
            </x14:dxf>
          </x14:cfRule>
          <xm:sqref>Q22</xm:sqref>
        </x14:conditionalFormatting>
        <x14:conditionalFormatting xmlns:xm="http://schemas.microsoft.com/office/excel/2006/main">
          <x14:cfRule type="expression" priority="3" id="{592FCCE4-8C0E-4FF6-BA6C-A2702CB0FA83}">
            <xm:f>OR(P28='H-Sätze - H phrases, TRGS, MAK'!$B$33:$B$38)</xm:f>
            <x14:dxf>
              <font>
                <b/>
                <i val="0"/>
                <color rgb="FFCC9900"/>
              </font>
            </x14:dxf>
          </x14:cfRule>
          <x14:cfRule type="expression" priority="4" id="{539685FE-2E63-4C66-8EC6-50A7D48F05BD}">
            <xm:f>OR(P28='H-Sätze - H phrases, TRGS, MAK'!$B$39:$B$41)</xm:f>
            <x14:dxf>
              <font>
                <b/>
                <i val="0"/>
                <color rgb="FF3333FF"/>
              </font>
            </x14:dxf>
          </x14:cfRule>
          <x14:cfRule type="expression" priority="5" id="{46103F8E-CF99-4EFD-9A03-B68B1D03B0D7}">
            <xm:f>OR(P28='H-Sätze - H phrases, TRGS, MAK'!$B$42)</xm:f>
            <x14:dxf>
              <font>
                <b/>
                <i val="0"/>
                <color rgb="FF006699"/>
              </font>
            </x14:dxf>
          </x14:cfRule>
          <x14:cfRule type="expression" priority="6" id="{BA155DE5-FA7C-47CD-B88C-988B82602E8A}">
            <xm:f>OR(P28='H-Sätze - H phrases, TRGS, MAK'!$B$28:$B$32)</xm:f>
            <x14:dxf>
              <font>
                <b/>
                <i val="0"/>
                <color rgb="FFCC00CC"/>
              </font>
            </x14:dxf>
          </x14:cfRule>
          <x14:cfRule type="expression" priority="7" id="{4830F5F9-A8D1-4208-8840-E7C58F25ED88}">
            <xm:f>OR(P28='H-Sätze - H phrases, TRGS, MAK'!$B$17:$B$27)</xm:f>
            <x14:dxf>
              <font>
                <b/>
                <i val="0"/>
                <color rgb="FF008000"/>
              </font>
            </x14:dxf>
          </x14:cfRule>
          <x14:cfRule type="expression" priority="8" id="{D8C14886-432D-48F8-9373-F4D59BD1044D}">
            <xm:f>OR(P28='H-Sätze - H phrases, TRGS, MAK'!$B$3:$B$16)</xm:f>
            <x14:dxf>
              <font>
                <b/>
                <i val="0"/>
                <color rgb="FFCC0000"/>
              </font>
            </x14:dxf>
          </x14:cfRule>
          <xm:sqref>P28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ED309-291D-4B5C-94DB-EA5B97768B8F}">
  <dimension ref="A1:F43"/>
  <sheetViews>
    <sheetView workbookViewId="0">
      <selection activeCell="B3" sqref="B3"/>
    </sheetView>
  </sheetViews>
  <sheetFormatPr baseColWidth="10" defaultRowHeight="15" customHeight="1" x14ac:dyDescent="0.15"/>
  <cols>
    <col min="1" max="1" width="15.7109375" style="33" customWidth="1"/>
    <col min="2" max="2" width="14.85546875" style="33" customWidth="1"/>
    <col min="3" max="3" width="2.85546875" style="33" customWidth="1"/>
    <col min="4" max="4" width="11.42578125" style="64"/>
    <col min="5" max="5" width="2.85546875" style="64" customWidth="1"/>
    <col min="6" max="6" width="27.28515625" style="64" bestFit="1" customWidth="1"/>
    <col min="7" max="7" width="32.5703125" style="64" bestFit="1" customWidth="1"/>
    <col min="8" max="16384" width="11.42578125" style="64"/>
  </cols>
  <sheetData>
    <row r="1" spans="1:6" ht="15" customHeight="1" x14ac:dyDescent="0.15">
      <c r="A1" s="137" t="str">
        <f>VLOOKUP("#0113",translation,code,FALSE)</f>
        <v>Relevante H-Sätze</v>
      </c>
      <c r="B1" s="137"/>
      <c r="C1" s="53"/>
    </row>
    <row r="2" spans="1:6" ht="22.5" customHeight="1" x14ac:dyDescent="0.15">
      <c r="A2" s="58" t="str">
        <f>VLOOKUP("#0115",translation,code,FALSE)</f>
        <v>Gefahren-
klassen</v>
      </c>
      <c r="B2" s="63" t="str">
        <f>VLOOKUP("#0114",translation,code,FALSE)</f>
        <v>H-Sätze</v>
      </c>
      <c r="D2" s="63" t="s">
        <v>273</v>
      </c>
      <c r="F2" s="63" t="str">
        <f>VLOOKUP("#0102",translation,code,FALSE)</f>
        <v>MAK-Liste</v>
      </c>
    </row>
    <row r="3" spans="1:6" ht="15" customHeight="1" x14ac:dyDescent="0.15">
      <c r="A3" s="26" t="s">
        <v>114</v>
      </c>
      <c r="B3" s="27">
        <v>300</v>
      </c>
      <c r="D3" s="26" t="s">
        <v>275</v>
      </c>
      <c r="F3" s="26" t="str">
        <f>VLOOKUP("#0103",translation,code,FALSE)</f>
        <v>krebserzeugend Kategorie 1</v>
      </c>
    </row>
    <row r="4" spans="1:6" ht="15" customHeight="1" x14ac:dyDescent="0.15">
      <c r="A4" s="26" t="s">
        <v>114</v>
      </c>
      <c r="B4" s="27">
        <v>310</v>
      </c>
      <c r="D4" s="26" t="s">
        <v>276</v>
      </c>
      <c r="F4" s="26" t="str">
        <f>VLOOKUP("#0104",translation,code,FALSE)</f>
        <v>krebserzeugend Kategorie 2</v>
      </c>
    </row>
    <row r="5" spans="1:6" ht="15" customHeight="1" x14ac:dyDescent="0.15">
      <c r="A5" s="26" t="s">
        <v>114</v>
      </c>
      <c r="B5" s="27">
        <v>330</v>
      </c>
      <c r="D5" s="26" t="s">
        <v>277</v>
      </c>
      <c r="F5" s="26" t="str">
        <f>VLOOKUP("#0105",translation,code,FALSE)</f>
        <v>krebserzeugend Kategorie 3A</v>
      </c>
    </row>
    <row r="6" spans="1:6" ht="15" customHeight="1" x14ac:dyDescent="0.15">
      <c r="A6" s="26" t="s">
        <v>121</v>
      </c>
      <c r="B6" s="27">
        <v>340</v>
      </c>
      <c r="D6" s="26" t="s">
        <v>278</v>
      </c>
      <c r="F6" s="26" t="str">
        <f>VLOOKUP("#0106",translation,code,FALSE)</f>
        <v>krebserzeugend Kategorie 3B</v>
      </c>
    </row>
    <row r="7" spans="1:6" ht="15" customHeight="1" x14ac:dyDescent="0.15">
      <c r="A7" s="26" t="s">
        <v>125</v>
      </c>
      <c r="B7" s="27">
        <v>350</v>
      </c>
      <c r="D7" s="26" t="s">
        <v>279</v>
      </c>
      <c r="F7" s="26" t="str">
        <f>VLOOKUP("#0107",translation,code,FALSE)</f>
        <v>keimzellmutagen Kategorie 1</v>
      </c>
    </row>
    <row r="8" spans="1:6" ht="15" customHeight="1" x14ac:dyDescent="0.15">
      <c r="A8" s="26" t="s">
        <v>128</v>
      </c>
      <c r="B8" s="27">
        <v>370</v>
      </c>
      <c r="D8" s="26" t="s">
        <v>280</v>
      </c>
      <c r="F8" s="26" t="str">
        <f>VLOOKUP("#0108",translation,code,FALSE)</f>
        <v>keimzellmutagen Kategorie 2</v>
      </c>
    </row>
    <row r="9" spans="1:6" ht="15" customHeight="1" x14ac:dyDescent="0.15">
      <c r="A9" s="26" t="s">
        <v>131</v>
      </c>
      <c r="B9" s="27">
        <v>372</v>
      </c>
      <c r="D9" s="26" t="s">
        <v>281</v>
      </c>
      <c r="F9" s="26" t="str">
        <f>VLOOKUP("#0109",translation,code,FALSE)</f>
        <v>keimzellmutagen Kategorie 3A</v>
      </c>
    </row>
    <row r="10" spans="1:6" ht="15" customHeight="1" x14ac:dyDescent="0.15">
      <c r="A10" s="26" t="s">
        <v>125</v>
      </c>
      <c r="B10" s="27" t="s">
        <v>84</v>
      </c>
      <c r="D10" s="26" t="s">
        <v>282</v>
      </c>
      <c r="F10" s="26" t="str">
        <f>VLOOKUP("#0110",translation,code,FALSE)</f>
        <v>keimzellmutagen Kategorie 3B</v>
      </c>
    </row>
    <row r="11" spans="1:6" ht="15" customHeight="1" x14ac:dyDescent="0.15">
      <c r="A11" s="26"/>
      <c r="B11" s="27">
        <v>360</v>
      </c>
      <c r="D11" s="26" t="s">
        <v>283</v>
      </c>
      <c r="F11" s="26" t="str">
        <f>VLOOKUP("#0111",translation,code,FALSE)</f>
        <v>"Schwangerschaft" Gruppe A</v>
      </c>
    </row>
    <row r="12" spans="1:6" ht="15" customHeight="1" x14ac:dyDescent="0.15">
      <c r="A12" s="26" t="s">
        <v>136</v>
      </c>
      <c r="B12" s="27" t="s">
        <v>85</v>
      </c>
      <c r="D12" s="26" t="s">
        <v>284</v>
      </c>
      <c r="F12" s="26" t="str">
        <f>VLOOKUP("#0112",translation,code,FALSE)</f>
        <v>"Schwangerschaft" Gruppe B</v>
      </c>
    </row>
    <row r="13" spans="1:6" ht="15" customHeight="1" x14ac:dyDescent="0.15">
      <c r="A13" s="26" t="s">
        <v>136</v>
      </c>
      <c r="B13" s="27" t="s">
        <v>88</v>
      </c>
      <c r="D13" s="26" t="s">
        <v>285</v>
      </c>
    </row>
    <row r="14" spans="1:6" ht="15" customHeight="1" x14ac:dyDescent="0.15">
      <c r="A14" s="26" t="s">
        <v>136</v>
      </c>
      <c r="B14" s="27" t="s">
        <v>86</v>
      </c>
      <c r="D14" s="26" t="s">
        <v>286</v>
      </c>
    </row>
    <row r="15" spans="1:6" ht="15" customHeight="1" x14ac:dyDescent="0.15">
      <c r="A15" s="26" t="s">
        <v>136</v>
      </c>
      <c r="B15" s="27" t="s">
        <v>87</v>
      </c>
    </row>
    <row r="16" spans="1:6" ht="15" customHeight="1" x14ac:dyDescent="0.15">
      <c r="A16" s="26" t="s">
        <v>136</v>
      </c>
      <c r="B16" s="27" t="s">
        <v>89</v>
      </c>
    </row>
    <row r="17" spans="1:2" ht="15" customHeight="1" x14ac:dyDescent="0.15">
      <c r="A17" s="26" t="s">
        <v>115</v>
      </c>
      <c r="B17" s="28">
        <v>302</v>
      </c>
    </row>
    <row r="18" spans="1:2" ht="15" customHeight="1" x14ac:dyDescent="0.15">
      <c r="A18" s="26" t="s">
        <v>118</v>
      </c>
      <c r="B18" s="28">
        <v>304</v>
      </c>
    </row>
    <row r="19" spans="1:2" ht="15" customHeight="1" x14ac:dyDescent="0.15">
      <c r="A19" s="26" t="s">
        <v>115</v>
      </c>
      <c r="B19" s="28">
        <v>312</v>
      </c>
    </row>
    <row r="20" spans="1:2" ht="15" customHeight="1" x14ac:dyDescent="0.15">
      <c r="A20" s="26" t="s">
        <v>122</v>
      </c>
      <c r="B20" s="28">
        <v>314</v>
      </c>
    </row>
    <row r="21" spans="1:2" ht="15" customHeight="1" x14ac:dyDescent="0.15">
      <c r="A21" s="26" t="s">
        <v>126</v>
      </c>
      <c r="B21" s="28">
        <v>315</v>
      </c>
    </row>
    <row r="22" spans="1:2" ht="15" customHeight="1" x14ac:dyDescent="0.15">
      <c r="A22" s="26" t="s">
        <v>129</v>
      </c>
      <c r="B22" s="28">
        <v>317</v>
      </c>
    </row>
    <row r="23" spans="1:2" ht="15" customHeight="1" x14ac:dyDescent="0.15">
      <c r="A23" s="26" t="s">
        <v>132</v>
      </c>
      <c r="B23" s="28">
        <v>318</v>
      </c>
    </row>
    <row r="24" spans="1:2" ht="15" customHeight="1" x14ac:dyDescent="0.15">
      <c r="A24" s="26" t="s">
        <v>134</v>
      </c>
      <c r="B24" s="28">
        <v>319</v>
      </c>
    </row>
    <row r="25" spans="1:2" ht="15" customHeight="1" x14ac:dyDescent="0.15">
      <c r="A25" s="26" t="s">
        <v>115</v>
      </c>
      <c r="B25" s="28">
        <v>332</v>
      </c>
    </row>
    <row r="26" spans="1:2" ht="15" customHeight="1" x14ac:dyDescent="0.15">
      <c r="A26" s="26" t="s">
        <v>137</v>
      </c>
      <c r="B26" s="28">
        <v>334</v>
      </c>
    </row>
    <row r="27" spans="1:2" ht="15" customHeight="1" x14ac:dyDescent="0.15">
      <c r="A27" s="26" t="s">
        <v>138</v>
      </c>
      <c r="B27" s="28">
        <v>335</v>
      </c>
    </row>
    <row r="28" spans="1:2" ht="15" customHeight="1" x14ac:dyDescent="0.15">
      <c r="A28" s="26" t="s">
        <v>116</v>
      </c>
      <c r="B28" s="29">
        <v>301</v>
      </c>
    </row>
    <row r="29" spans="1:2" ht="15" customHeight="1" x14ac:dyDescent="0.15">
      <c r="A29" s="26" t="s">
        <v>116</v>
      </c>
      <c r="B29" s="29">
        <v>311</v>
      </c>
    </row>
    <row r="30" spans="1:2" ht="15" customHeight="1" x14ac:dyDescent="0.15">
      <c r="A30" s="26" t="s">
        <v>116</v>
      </c>
      <c r="B30" s="29">
        <v>331</v>
      </c>
    </row>
    <row r="31" spans="1:2" ht="15" customHeight="1" x14ac:dyDescent="0.15">
      <c r="A31" s="26" t="s">
        <v>123</v>
      </c>
      <c r="B31" s="29">
        <v>371</v>
      </c>
    </row>
    <row r="32" spans="1:2" ht="15" customHeight="1" x14ac:dyDescent="0.15">
      <c r="A32" s="26" t="s">
        <v>127</v>
      </c>
      <c r="B32" s="29">
        <v>373</v>
      </c>
    </row>
    <row r="33" spans="1:6" ht="15" customHeight="1" x14ac:dyDescent="0.15">
      <c r="A33" s="26" t="s">
        <v>130</v>
      </c>
      <c r="B33" s="32">
        <v>341</v>
      </c>
    </row>
    <row r="34" spans="1:6" ht="15" customHeight="1" x14ac:dyDescent="0.15">
      <c r="A34" s="26" t="s">
        <v>133</v>
      </c>
      <c r="B34" s="32">
        <v>351</v>
      </c>
    </row>
    <row r="35" spans="1:6" ht="15" customHeight="1" x14ac:dyDescent="0.15">
      <c r="A35" s="26"/>
      <c r="B35" s="32">
        <v>361</v>
      </c>
      <c r="D35" s="61"/>
      <c r="E35" s="55"/>
      <c r="F35" s="67"/>
    </row>
    <row r="36" spans="1:6" ht="15" customHeight="1" x14ac:dyDescent="0.15">
      <c r="A36" s="26" t="s">
        <v>135</v>
      </c>
      <c r="B36" s="32" t="s">
        <v>90</v>
      </c>
      <c r="D36" s="66"/>
      <c r="E36" s="67"/>
      <c r="F36" s="67"/>
    </row>
    <row r="37" spans="1:6" ht="15" customHeight="1" x14ac:dyDescent="0.15">
      <c r="A37" s="26" t="s">
        <v>135</v>
      </c>
      <c r="B37" s="32" t="s">
        <v>91</v>
      </c>
      <c r="D37" s="55"/>
      <c r="E37" s="67"/>
      <c r="F37" s="67"/>
    </row>
    <row r="38" spans="1:6" ht="15" customHeight="1" x14ac:dyDescent="0.15">
      <c r="A38" s="26" t="s">
        <v>135</v>
      </c>
      <c r="B38" s="32" t="s">
        <v>92</v>
      </c>
      <c r="D38" s="60"/>
      <c r="E38" s="53"/>
      <c r="F38" s="67"/>
    </row>
    <row r="39" spans="1:6" ht="15" customHeight="1" x14ac:dyDescent="0.15">
      <c r="A39" s="26" t="s">
        <v>117</v>
      </c>
      <c r="B39" s="30">
        <v>400</v>
      </c>
      <c r="D39" s="55"/>
      <c r="E39" s="36"/>
      <c r="F39" s="67"/>
    </row>
    <row r="40" spans="1:6" ht="15" customHeight="1" x14ac:dyDescent="0.15">
      <c r="A40" s="26" t="s">
        <v>119</v>
      </c>
      <c r="B40" s="30">
        <v>410</v>
      </c>
      <c r="D40" s="55"/>
      <c r="E40" s="36"/>
      <c r="F40" s="67"/>
    </row>
    <row r="41" spans="1:6" ht="15" customHeight="1" x14ac:dyDescent="0.15">
      <c r="A41" s="26" t="s">
        <v>120</v>
      </c>
      <c r="B41" s="30">
        <v>411</v>
      </c>
      <c r="D41" s="55"/>
      <c r="E41" s="36"/>
      <c r="F41" s="67"/>
    </row>
    <row r="42" spans="1:6" ht="15" customHeight="1" x14ac:dyDescent="0.15">
      <c r="A42" s="26" t="s">
        <v>124</v>
      </c>
      <c r="B42" s="31">
        <v>412</v>
      </c>
      <c r="D42" s="56"/>
      <c r="E42" s="67"/>
      <c r="F42" s="67"/>
    </row>
    <row r="43" spans="1:6" ht="15" customHeight="1" x14ac:dyDescent="0.15">
      <c r="D43" s="67"/>
      <c r="E43" s="67"/>
      <c r="F43" s="67"/>
    </row>
  </sheetData>
  <sheetProtection algorithmName="SHA-512" hashValue="xnToqjySW4EObHfxs7QZQHCURu10LNTZvN/LrR2qtnSfwvq4pfH0/B5ucxiINZRif1NL9IKCl4i0MDkrUGXhHA==" saltValue="IBcf2R10MyILv/t41jpeuw==" spinCount="100000" sheet="1" objects="1" scenarios="1" selectLockedCells="1" selectUn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B944-8830-4A0A-9CCE-537068A25C5E}">
  <dimension ref="A1:K30"/>
  <sheetViews>
    <sheetView workbookViewId="0">
      <selection activeCell="A2" sqref="A2"/>
    </sheetView>
  </sheetViews>
  <sheetFormatPr baseColWidth="10" defaultRowHeight="15" customHeight="1" x14ac:dyDescent="0.25"/>
  <cols>
    <col min="1" max="1" width="85.28515625" style="68" bestFit="1" customWidth="1"/>
    <col min="2" max="3" width="11.42578125" style="68"/>
    <col min="4" max="4" width="9.7109375" style="68" customWidth="1"/>
    <col min="5" max="5" width="19.140625" style="68" bestFit="1" customWidth="1"/>
    <col min="6" max="6" width="21.42578125" style="68" customWidth="1"/>
    <col min="7" max="7" width="18.28515625" style="68" customWidth="1"/>
    <col min="8" max="16384" width="11.42578125" style="68"/>
  </cols>
  <sheetData>
    <row r="1" spans="1:11" ht="15" customHeight="1" x14ac:dyDescent="0.25">
      <c r="A1" s="57" t="str">
        <f>VLOOKUP("#0086",translation,code,FALSE)</f>
        <v>Äußere Weichmacher gemäß VdL-Richtlinie 01, Stand Mai 2019</v>
      </c>
      <c r="B1" s="57" t="str">
        <f>VLOOKUP("#0055",translation,code,FALSE)</f>
        <v>CAS-Nr.</v>
      </c>
      <c r="D1" s="69" t="str">
        <f>VLOOKUP("#0087",translation,code,FALSE)</f>
        <v>VOC und SVOC</v>
      </c>
      <c r="E1" s="70"/>
      <c r="F1" s="70"/>
      <c r="G1" s="70"/>
      <c r="H1" s="70"/>
      <c r="I1" s="70"/>
      <c r="J1" s="70"/>
      <c r="K1" s="70"/>
    </row>
    <row r="2" spans="1:11" ht="15" customHeight="1" x14ac:dyDescent="0.25">
      <c r="A2" s="65" t="s">
        <v>324</v>
      </c>
      <c r="B2" s="52">
        <v>166412788</v>
      </c>
      <c r="D2" s="54" t="str">
        <f>VLOOKUP("#0088",translation,code,FALSE)</f>
        <v>DE-UZ 12a - Berechnung</v>
      </c>
      <c r="E2" s="55"/>
      <c r="F2" s="55"/>
      <c r="H2" s="70"/>
      <c r="I2" s="70"/>
      <c r="J2" s="70"/>
      <c r="K2" s="70"/>
    </row>
    <row r="3" spans="1:11" ht="15" customHeight="1" x14ac:dyDescent="0.25">
      <c r="A3" s="65" t="s">
        <v>296</v>
      </c>
      <c r="B3" s="52">
        <v>624486</v>
      </c>
      <c r="D3" s="55" t="str">
        <f>VLOOKUP("#0091",translation,code,FALSE)</f>
        <v>Die Unterteilung der VOC und SVOC lautet wie folgt:</v>
      </c>
      <c r="E3" s="55"/>
      <c r="F3" s="55"/>
      <c r="H3" s="70"/>
      <c r="I3" s="70"/>
      <c r="J3" s="70"/>
      <c r="K3" s="70"/>
    </row>
    <row r="4" spans="1:11" ht="15" customHeight="1" x14ac:dyDescent="0.25">
      <c r="A4" s="65" t="s">
        <v>297</v>
      </c>
      <c r="B4" s="52">
        <v>109433</v>
      </c>
      <c r="D4" s="59" t="str">
        <f>VLOOKUP("#0092",translation,code,FALSE)</f>
        <v>Gruppe</v>
      </c>
      <c r="E4" s="63" t="str">
        <f>VLOOKUP("#0093",translation,code,FALSE)</f>
        <v>Siedepunkt [°C]</v>
      </c>
      <c r="F4" s="63" t="str">
        <f>VLOOKUP("#0101",translation,code,FALSE)</f>
        <v>NIK-Wert</v>
      </c>
      <c r="G4" s="63" t="str">
        <f>VLOOKUP("#0094",translation,code,FALSE)</f>
        <v>Retentionsbereich</v>
      </c>
      <c r="H4" s="70"/>
      <c r="I4" s="70"/>
      <c r="J4" s="70"/>
      <c r="K4" s="70"/>
    </row>
    <row r="5" spans="1:11" ht="15" customHeight="1" x14ac:dyDescent="0.25">
      <c r="A5" s="65" t="s">
        <v>298</v>
      </c>
      <c r="B5" s="52">
        <v>1962750</v>
      </c>
      <c r="D5" s="65" t="s">
        <v>367</v>
      </c>
      <c r="E5" s="26"/>
      <c r="F5" s="26"/>
      <c r="G5" s="26" t="s">
        <v>408</v>
      </c>
      <c r="H5" s="70"/>
      <c r="I5" s="70"/>
      <c r="J5" s="70"/>
      <c r="K5" s="70"/>
    </row>
    <row r="6" spans="1:11" ht="15" customHeight="1" x14ac:dyDescent="0.25">
      <c r="A6" s="65" t="s">
        <v>299</v>
      </c>
      <c r="B6" s="52">
        <v>103231</v>
      </c>
      <c r="D6" s="65" t="s">
        <v>368</v>
      </c>
      <c r="E6" s="26" t="s">
        <v>369</v>
      </c>
      <c r="F6" s="26" t="s">
        <v>370</v>
      </c>
      <c r="G6" s="138" t="s">
        <v>409</v>
      </c>
      <c r="H6" s="70"/>
      <c r="I6" s="70"/>
      <c r="J6" s="70"/>
      <c r="K6" s="70"/>
    </row>
    <row r="7" spans="1:11" ht="15" customHeight="1" x14ac:dyDescent="0.25">
      <c r="A7" s="65" t="s">
        <v>300</v>
      </c>
      <c r="B7" s="52">
        <v>27178161</v>
      </c>
      <c r="D7" s="65" t="s">
        <v>371</v>
      </c>
      <c r="E7" s="26" t="s">
        <v>369</v>
      </c>
      <c r="F7" s="26" t="str">
        <f>VLOOKUP("#0100",translation,code,FALSE)</f>
        <v>&lt; 100 µg/m³ oder kein</v>
      </c>
      <c r="G7" s="138"/>
      <c r="H7" s="70"/>
      <c r="I7" s="70"/>
      <c r="J7" s="70"/>
      <c r="K7" s="70"/>
    </row>
    <row r="8" spans="1:11" ht="15" customHeight="1" x14ac:dyDescent="0.25">
      <c r="A8" s="65" t="s">
        <v>301</v>
      </c>
      <c r="B8" s="52">
        <v>33703081</v>
      </c>
      <c r="D8" s="65" t="s">
        <v>373</v>
      </c>
      <c r="E8" s="26" t="s">
        <v>437</v>
      </c>
      <c r="F8" s="26" t="s">
        <v>370</v>
      </c>
      <c r="G8" s="138"/>
      <c r="H8" s="70"/>
      <c r="I8" s="70"/>
      <c r="J8" s="70"/>
      <c r="K8" s="70"/>
    </row>
    <row r="9" spans="1:11" ht="15" customHeight="1" x14ac:dyDescent="0.25">
      <c r="A9" s="65" t="s">
        <v>302</v>
      </c>
      <c r="B9" s="52">
        <v>26401354</v>
      </c>
      <c r="D9" s="65" t="s">
        <v>374</v>
      </c>
      <c r="E9" s="26" t="s">
        <v>437</v>
      </c>
      <c r="F9" s="26" t="str">
        <f>VLOOKUP("#0100",translation,code,FALSE)</f>
        <v>&lt; 100 µg/m³ oder kein</v>
      </c>
      <c r="G9" s="138"/>
      <c r="H9" s="70"/>
      <c r="I9" s="70"/>
      <c r="J9" s="70"/>
      <c r="K9" s="70"/>
    </row>
    <row r="10" spans="1:11" ht="15" customHeight="1" x14ac:dyDescent="0.25">
      <c r="A10" s="65" t="s">
        <v>303</v>
      </c>
      <c r="B10" s="52">
        <v>627930</v>
      </c>
      <c r="D10" s="65" t="s">
        <v>375</v>
      </c>
      <c r="E10" s="26" t="s">
        <v>438</v>
      </c>
      <c r="F10" s="26"/>
      <c r="G10" s="26" t="s">
        <v>410</v>
      </c>
      <c r="H10" s="70"/>
      <c r="I10" s="70"/>
      <c r="J10" s="70"/>
      <c r="K10" s="70"/>
    </row>
    <row r="11" spans="1:11" ht="15" customHeight="1" x14ac:dyDescent="0.25">
      <c r="A11" s="65" t="s">
        <v>304</v>
      </c>
      <c r="B11" s="52">
        <v>1119400</v>
      </c>
      <c r="D11" s="56" t="str">
        <f>VLOOKUP("#0095",translation,code,FALSE)</f>
        <v>Definition in Anlehnung an die DIN ISO 16000-6.</v>
      </c>
      <c r="E11" s="55"/>
      <c r="F11" s="55"/>
      <c r="H11" s="70"/>
      <c r="I11" s="70"/>
      <c r="J11" s="70"/>
      <c r="K11" s="70"/>
    </row>
    <row r="12" spans="1:11" ht="15" customHeight="1" x14ac:dyDescent="0.25">
      <c r="A12" s="65" t="s">
        <v>305</v>
      </c>
      <c r="B12" s="52">
        <v>106796</v>
      </c>
      <c r="D12" s="56" t="str">
        <f>VLOOKUP("#0096",translation,code,FALSE)</f>
        <v>Marker: C6 = n-Hexan; C16 = n-Hexadecan</v>
      </c>
      <c r="E12" s="55"/>
      <c r="F12" s="55"/>
      <c r="G12" s="56"/>
      <c r="H12" s="70"/>
      <c r="I12" s="70"/>
      <c r="J12" s="70"/>
      <c r="K12" s="70"/>
    </row>
    <row r="13" spans="1:11" ht="15" customHeight="1" x14ac:dyDescent="0.25">
      <c r="A13" s="65" t="s">
        <v>306</v>
      </c>
      <c r="B13" s="52">
        <v>106650</v>
      </c>
      <c r="D13" s="70"/>
      <c r="E13" s="70"/>
      <c r="F13" s="70"/>
      <c r="G13" s="70"/>
      <c r="H13" s="70"/>
      <c r="I13" s="70"/>
      <c r="J13" s="70"/>
      <c r="K13" s="70"/>
    </row>
    <row r="14" spans="1:11" ht="15" customHeight="1" x14ac:dyDescent="0.25">
      <c r="A14" s="65" t="s">
        <v>307</v>
      </c>
      <c r="B14" s="52">
        <v>6422862</v>
      </c>
      <c r="D14" s="71" t="str">
        <f>VLOOKUP("#0090",translation,code,FALSE)</f>
        <v>DE-UZ 12a, DE-UZ 113, DE-UZ 123, DE-UZ 198 - Emissionsprüfung</v>
      </c>
      <c r="E14" s="55"/>
      <c r="F14" s="70"/>
      <c r="G14" s="70"/>
      <c r="H14" s="70"/>
      <c r="I14" s="70"/>
      <c r="J14" s="70"/>
      <c r="K14" s="70"/>
    </row>
    <row r="15" spans="1:11" ht="15" customHeight="1" x14ac:dyDescent="0.25">
      <c r="A15" s="65" t="s">
        <v>308</v>
      </c>
      <c r="B15" s="52">
        <v>53306540</v>
      </c>
      <c r="D15" s="55" t="str">
        <f>VLOOKUP("#0091",translation,code,FALSE)</f>
        <v>Die Unterteilung der VOC und SVOC lautet wie folgt:</v>
      </c>
      <c r="E15" s="33"/>
      <c r="F15" s="70"/>
      <c r="G15" s="70"/>
      <c r="H15" s="70"/>
      <c r="I15" s="70"/>
      <c r="J15" s="70"/>
      <c r="K15" s="70"/>
    </row>
    <row r="16" spans="1:11" ht="15" customHeight="1" x14ac:dyDescent="0.25">
      <c r="A16" s="65" t="s">
        <v>309</v>
      </c>
      <c r="B16" s="52">
        <v>8016113</v>
      </c>
      <c r="D16" s="59" t="str">
        <f>VLOOKUP("#0092",translation,code,FALSE)</f>
        <v>Gruppe</v>
      </c>
      <c r="E16" s="63" t="str">
        <f>VLOOKUP("#0093",translation,code,FALSE)</f>
        <v>Siedepunkt [°C]</v>
      </c>
      <c r="F16" s="63" t="str">
        <f>VLOOKUP("#0094",translation,code,FALSE)</f>
        <v>Retentionsbereich</v>
      </c>
      <c r="G16" s="70"/>
      <c r="H16" s="70"/>
      <c r="I16" s="70"/>
      <c r="J16" s="70"/>
      <c r="K16" s="70"/>
    </row>
    <row r="17" spans="1:11" ht="15" customHeight="1" x14ac:dyDescent="0.25">
      <c r="A17" s="65" t="s">
        <v>310</v>
      </c>
      <c r="B17" s="52">
        <v>8013078</v>
      </c>
      <c r="D17" s="65" t="s">
        <v>367</v>
      </c>
      <c r="E17" s="26"/>
      <c r="F17" s="26" t="s">
        <v>408</v>
      </c>
      <c r="G17" s="70"/>
      <c r="H17" s="70"/>
      <c r="I17" s="70"/>
      <c r="J17" s="70"/>
      <c r="K17" s="70"/>
    </row>
    <row r="18" spans="1:11" ht="15" customHeight="1" x14ac:dyDescent="0.25">
      <c r="A18" s="65" t="s">
        <v>311</v>
      </c>
      <c r="B18" s="52">
        <v>8001783</v>
      </c>
      <c r="D18" s="65" t="s">
        <v>382</v>
      </c>
      <c r="E18" s="26" t="s">
        <v>439</v>
      </c>
      <c r="F18" s="26" t="s">
        <v>409</v>
      </c>
      <c r="G18" s="70"/>
      <c r="H18" s="70"/>
      <c r="I18" s="70"/>
      <c r="J18" s="70"/>
      <c r="K18" s="70"/>
    </row>
    <row r="19" spans="1:11" ht="15" customHeight="1" x14ac:dyDescent="0.25">
      <c r="A19" s="65" t="s">
        <v>312</v>
      </c>
      <c r="B19" s="52">
        <v>131298447</v>
      </c>
      <c r="D19" s="65" t="s">
        <v>375</v>
      </c>
      <c r="E19" s="26" t="s">
        <v>438</v>
      </c>
      <c r="F19" s="26" t="s">
        <v>435</v>
      </c>
      <c r="G19" s="70"/>
      <c r="H19" s="70"/>
      <c r="I19" s="70"/>
      <c r="J19" s="70"/>
      <c r="K19" s="70"/>
    </row>
    <row r="20" spans="1:11" ht="15" customHeight="1" x14ac:dyDescent="0.25">
      <c r="A20" s="65" t="s">
        <v>313</v>
      </c>
      <c r="B20" s="52">
        <v>670241722</v>
      </c>
      <c r="D20" s="56" t="str">
        <f>VLOOKUP("#0097",translation,code,FALSE)</f>
        <v>Vgl. AgBB-Schema.</v>
      </c>
    </row>
    <row r="21" spans="1:11" ht="15" customHeight="1" x14ac:dyDescent="0.25">
      <c r="A21" s="65" t="s">
        <v>314</v>
      </c>
      <c r="B21" s="52">
        <v>77907</v>
      </c>
      <c r="D21" s="56" t="str">
        <f>VLOOKUP("#0096",translation,code,FALSE)</f>
        <v>Marker: C6 = n-Hexan; C16 = n-Hexadecan</v>
      </c>
    </row>
    <row r="22" spans="1:11" ht="15" customHeight="1" x14ac:dyDescent="0.25">
      <c r="A22" s="65" t="s">
        <v>315</v>
      </c>
      <c r="B22" s="52">
        <v>3319311</v>
      </c>
    </row>
    <row r="23" spans="1:11" ht="15" customHeight="1" x14ac:dyDescent="0.25">
      <c r="A23" s="65" t="s">
        <v>316</v>
      </c>
      <c r="B23" s="52">
        <v>117817</v>
      </c>
      <c r="D23" s="54" t="str">
        <f>VLOOKUP("#0089",translation,code,FALSE)</f>
        <v>DE-UZ 102 - Berechnung</v>
      </c>
    </row>
    <row r="24" spans="1:11" ht="15" customHeight="1" x14ac:dyDescent="0.25">
      <c r="A24" s="65" t="s">
        <v>317</v>
      </c>
      <c r="B24" s="52">
        <v>84742</v>
      </c>
      <c r="D24" s="55" t="str">
        <f>VLOOKUP("#0091",translation,code,FALSE)</f>
        <v>Die Unterteilung der VOC und SVOC lautet wie folgt:</v>
      </c>
    </row>
    <row r="25" spans="1:11" ht="15" customHeight="1" x14ac:dyDescent="0.25">
      <c r="A25" s="65" t="s">
        <v>318</v>
      </c>
      <c r="B25" s="52">
        <v>85687</v>
      </c>
      <c r="D25" s="59" t="str">
        <f>VLOOKUP("#0092",translation,code,FALSE)</f>
        <v>Gruppe</v>
      </c>
      <c r="E25" s="63" t="str">
        <f>VLOOKUP("#0093",translation,code,FALSE)</f>
        <v>Siedepunkt [°C]</v>
      </c>
      <c r="F25" s="63" t="str">
        <f>VLOOKUP("#0094",translation,code,FALSE)</f>
        <v>Retentionsbereich</v>
      </c>
    </row>
    <row r="26" spans="1:11" ht="15" customHeight="1" x14ac:dyDescent="0.25">
      <c r="A26" s="65" t="s">
        <v>319</v>
      </c>
      <c r="B26" s="52">
        <v>28553120</v>
      </c>
      <c r="D26" s="65" t="s">
        <v>382</v>
      </c>
      <c r="E26" s="26" t="s">
        <v>440</v>
      </c>
      <c r="F26" s="26" t="s">
        <v>436</v>
      </c>
    </row>
    <row r="27" spans="1:11" ht="15" customHeight="1" x14ac:dyDescent="0.25">
      <c r="A27" s="65" t="s">
        <v>320</v>
      </c>
      <c r="B27" s="52">
        <v>68515480</v>
      </c>
      <c r="D27" s="65" t="s">
        <v>375</v>
      </c>
      <c r="E27" s="26" t="s">
        <v>441</v>
      </c>
      <c r="F27" s="26" t="s">
        <v>407</v>
      </c>
    </row>
    <row r="28" spans="1:11" ht="15" customHeight="1" x14ac:dyDescent="0.25">
      <c r="A28" s="65" t="s">
        <v>321</v>
      </c>
      <c r="B28" s="52">
        <v>26761400</v>
      </c>
      <c r="D28" s="61" t="str">
        <f>VLOOKUP("#0098",translation,code,FALSE)</f>
        <v>Definition gemäß DIN EN ISO 17895 und DIN EN ISO 11890-2.</v>
      </c>
    </row>
    <row r="29" spans="1:11" ht="15" customHeight="1" x14ac:dyDescent="0.25">
      <c r="A29" s="65" t="s">
        <v>322</v>
      </c>
      <c r="B29" s="52">
        <v>68515491</v>
      </c>
      <c r="D29" s="61" t="str">
        <f>VLOOKUP("#0099",translation,code,FALSE)</f>
        <v>Marker: bis C14 = n-Tetradecan (DIN EN ISO 17895) und C14 = n-Tetradecan; C22 = n-Docosan (DIN EN ISO 11890-2)</v>
      </c>
    </row>
    <row r="30" spans="1:11" ht="15" customHeight="1" x14ac:dyDescent="0.25">
      <c r="A30" s="65" t="s">
        <v>323</v>
      </c>
      <c r="B30" s="52">
        <v>117840</v>
      </c>
    </row>
  </sheetData>
  <sheetProtection algorithmName="SHA-512" hashValue="wjRJlyhZAsopk0WNIiVTSNFQiFg6z1Y82OeN3eeEm069b2tCzDMYh4PF2ss/OBCZ6DEwjLcf12D2v5YvN5S9Ng==" saltValue="alB20XjCuoVwt2IT1/9Gjw==" spinCount="100000" sheet="1" objects="1" scenarios="1" selectLockedCells="1" selectUnlockedCells="1"/>
  <mergeCells count="1">
    <mergeCell ref="G6:G9"/>
  </mergeCells>
  <conditionalFormatting sqref="B2:B30">
    <cfRule type="duplicateValues" dxfId="0" priority="1"/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D75A-7D26-40A0-B60E-B34984368283}">
  <dimension ref="A2:E5"/>
  <sheetViews>
    <sheetView workbookViewId="0">
      <selection activeCell="C17" sqref="C17"/>
    </sheetView>
  </sheetViews>
  <sheetFormatPr baseColWidth="10" defaultRowHeight="12.75" x14ac:dyDescent="0.25"/>
  <cols>
    <col min="1" max="1" width="2.5703125" style="74" customWidth="1"/>
    <col min="2" max="2" width="15.85546875" style="74" customWidth="1"/>
    <col min="3" max="4" width="57.140625" style="73" customWidth="1"/>
    <col min="5" max="5" width="2.5703125" style="74" customWidth="1"/>
    <col min="6" max="16384" width="11.42578125" style="51"/>
  </cols>
  <sheetData>
    <row r="2" spans="2:4" x14ac:dyDescent="0.25">
      <c r="B2" s="80" t="s">
        <v>686</v>
      </c>
    </row>
    <row r="3" spans="2:4" x14ac:dyDescent="0.25">
      <c r="B3" s="80"/>
    </row>
    <row r="4" spans="2:4" x14ac:dyDescent="0.25">
      <c r="C4" s="81" t="s">
        <v>687</v>
      </c>
      <c r="D4" s="81" t="s">
        <v>688</v>
      </c>
    </row>
    <row r="5" spans="2:4" x14ac:dyDescent="0.25">
      <c r="B5" s="82">
        <v>44928</v>
      </c>
      <c r="C5" s="73" t="s">
        <v>689</v>
      </c>
      <c r="D5" s="73" t="s">
        <v>690</v>
      </c>
    </row>
  </sheetData>
  <sheetProtection algorithmName="SHA-512" hashValue="KyqWSLOcd7SQZzNI7G7anuq7lKIqfyrYi1T5qo4ZWqWbelBgVhKdEmgWWU7zv4fJjMio5XasPVMRLcEuATs0Bg==" saltValue="4ipZ379ecWl+9ujvR1z04g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AAC0-4E8C-416D-AC55-4421B6E3ED2E}">
  <dimension ref="A1:D202"/>
  <sheetViews>
    <sheetView topLeftCell="A157" workbookViewId="0">
      <selection activeCell="C197" sqref="C197"/>
    </sheetView>
  </sheetViews>
  <sheetFormatPr baseColWidth="10" defaultRowHeight="12.75" x14ac:dyDescent="0.25"/>
  <cols>
    <col min="1" max="1" width="11.42578125" style="38"/>
    <col min="2" max="3" width="129.28515625" style="38" customWidth="1"/>
    <col min="4" max="4" width="3.140625" style="39" customWidth="1"/>
    <col min="5" max="16384" width="11.42578125" style="39"/>
  </cols>
  <sheetData>
    <row r="1" spans="1:4" x14ac:dyDescent="0.25">
      <c r="A1" s="42" t="s">
        <v>152</v>
      </c>
      <c r="B1" s="37" t="s">
        <v>21</v>
      </c>
      <c r="C1" s="37" t="s">
        <v>22</v>
      </c>
      <c r="D1" s="41">
        <f>HLOOKUP(Language,B1:C2,2,FALSE)</f>
        <v>2</v>
      </c>
    </row>
    <row r="2" spans="1:4" x14ac:dyDescent="0.25">
      <c r="A2" s="43" t="s">
        <v>153</v>
      </c>
      <c r="B2" s="37">
        <v>2</v>
      </c>
      <c r="C2" s="37">
        <v>3</v>
      </c>
    </row>
    <row r="3" spans="1:4" x14ac:dyDescent="0.25">
      <c r="A3" s="44" t="s">
        <v>154</v>
      </c>
      <c r="B3" s="35" t="s">
        <v>148</v>
      </c>
      <c r="C3" s="35" t="s">
        <v>149</v>
      </c>
    </row>
    <row r="4" spans="1:4" x14ac:dyDescent="0.25">
      <c r="A4" s="44" t="s">
        <v>155</v>
      </c>
      <c r="B4" s="38" t="s">
        <v>265</v>
      </c>
      <c r="C4" s="38" t="s">
        <v>266</v>
      </c>
    </row>
    <row r="5" spans="1:4" x14ac:dyDescent="0.25">
      <c r="A5" s="44" t="s">
        <v>156</v>
      </c>
      <c r="B5" s="38" t="s">
        <v>43</v>
      </c>
      <c r="C5" s="38" t="s">
        <v>44</v>
      </c>
    </row>
    <row r="6" spans="1:4" x14ac:dyDescent="0.25">
      <c r="A6" s="44" t="s">
        <v>157</v>
      </c>
      <c r="B6" s="38" t="s">
        <v>45</v>
      </c>
      <c r="C6" s="38" t="s">
        <v>48</v>
      </c>
    </row>
    <row r="7" spans="1:4" x14ac:dyDescent="0.25">
      <c r="A7" s="44" t="s">
        <v>158</v>
      </c>
      <c r="B7" s="38" t="s">
        <v>46</v>
      </c>
      <c r="C7" s="38" t="s">
        <v>49</v>
      </c>
    </row>
    <row r="8" spans="1:4" x14ac:dyDescent="0.25">
      <c r="A8" s="44" t="s">
        <v>159</v>
      </c>
      <c r="B8" s="38" t="s">
        <v>47</v>
      </c>
      <c r="C8" s="38" t="s">
        <v>50</v>
      </c>
    </row>
    <row r="9" spans="1:4" x14ac:dyDescent="0.25">
      <c r="A9" s="44" t="s">
        <v>160</v>
      </c>
      <c r="B9" s="38" t="s">
        <v>63</v>
      </c>
      <c r="C9" s="38" t="s">
        <v>62</v>
      </c>
    </row>
    <row r="10" spans="1:4" x14ac:dyDescent="0.25">
      <c r="A10" s="44" t="s">
        <v>161</v>
      </c>
      <c r="B10" s="38" t="s">
        <v>16</v>
      </c>
      <c r="C10" s="38" t="s">
        <v>23</v>
      </c>
    </row>
    <row r="11" spans="1:4" x14ac:dyDescent="0.25">
      <c r="A11" s="44" t="s">
        <v>162</v>
      </c>
      <c r="B11" s="38" t="s">
        <v>17</v>
      </c>
      <c r="C11" s="38" t="s">
        <v>24</v>
      </c>
    </row>
    <row r="12" spans="1:4" x14ac:dyDescent="0.25">
      <c r="A12" s="44" t="s">
        <v>163</v>
      </c>
      <c r="B12" s="38" t="s">
        <v>18</v>
      </c>
      <c r="C12" s="38" t="s">
        <v>25</v>
      </c>
    </row>
    <row r="13" spans="1:4" x14ac:dyDescent="0.25">
      <c r="A13" s="44" t="s">
        <v>164</v>
      </c>
      <c r="B13" s="38" t="s">
        <v>19</v>
      </c>
      <c r="C13" s="38" t="s">
        <v>26</v>
      </c>
    </row>
    <row r="14" spans="1:4" x14ac:dyDescent="0.25">
      <c r="A14" s="44" t="s">
        <v>165</v>
      </c>
      <c r="B14" s="38" t="s">
        <v>64</v>
      </c>
      <c r="C14" s="38" t="s">
        <v>65</v>
      </c>
    </row>
    <row r="15" spans="1:4" x14ac:dyDescent="0.25">
      <c r="A15" s="44" t="s">
        <v>166</v>
      </c>
      <c r="B15" s="38" t="s">
        <v>0</v>
      </c>
      <c r="C15" s="38" t="s">
        <v>27</v>
      </c>
    </row>
    <row r="16" spans="1:4" x14ac:dyDescent="0.25">
      <c r="A16" s="44" t="s">
        <v>167</v>
      </c>
      <c r="B16" s="38" t="s">
        <v>14</v>
      </c>
      <c r="C16" s="38" t="s">
        <v>31</v>
      </c>
    </row>
    <row r="17" spans="1:3" x14ac:dyDescent="0.25">
      <c r="A17" s="44" t="s">
        <v>168</v>
      </c>
      <c r="B17" s="38" t="s">
        <v>15</v>
      </c>
      <c r="C17" s="38" t="s">
        <v>32</v>
      </c>
    </row>
    <row r="18" spans="1:3" x14ac:dyDescent="0.25">
      <c r="A18" s="44" t="s">
        <v>169</v>
      </c>
      <c r="B18" s="38" t="s">
        <v>66</v>
      </c>
      <c r="C18" s="38" t="s">
        <v>67</v>
      </c>
    </row>
    <row r="19" spans="1:3" x14ac:dyDescent="0.25">
      <c r="A19" s="44" t="s">
        <v>170</v>
      </c>
      <c r="B19" s="38" t="s">
        <v>1</v>
      </c>
      <c r="C19" s="38" t="s">
        <v>1</v>
      </c>
    </row>
    <row r="20" spans="1:3" x14ac:dyDescent="0.25">
      <c r="A20" s="44" t="s">
        <v>171</v>
      </c>
      <c r="B20" s="38" t="s">
        <v>9</v>
      </c>
      <c r="C20" s="38" t="s">
        <v>28</v>
      </c>
    </row>
    <row r="21" spans="1:3" x14ac:dyDescent="0.25">
      <c r="A21" s="44" t="s">
        <v>172</v>
      </c>
      <c r="B21" s="38" t="s">
        <v>2</v>
      </c>
      <c r="C21" s="38" t="s">
        <v>33</v>
      </c>
    </row>
    <row r="22" spans="1:3" x14ac:dyDescent="0.25">
      <c r="A22" s="44" t="s">
        <v>173</v>
      </c>
      <c r="B22" s="38" t="s">
        <v>3</v>
      </c>
      <c r="C22" s="38" t="s">
        <v>34</v>
      </c>
    </row>
    <row r="23" spans="1:3" x14ac:dyDescent="0.25">
      <c r="A23" s="44" t="s">
        <v>174</v>
      </c>
      <c r="B23" s="38" t="s">
        <v>5</v>
      </c>
      <c r="C23" s="38" t="s">
        <v>35</v>
      </c>
    </row>
    <row r="24" spans="1:3" x14ac:dyDescent="0.25">
      <c r="A24" s="44" t="s">
        <v>175</v>
      </c>
      <c r="B24" s="38" t="s">
        <v>4</v>
      </c>
      <c r="C24" s="38" t="s">
        <v>36</v>
      </c>
    </row>
    <row r="25" spans="1:3" x14ac:dyDescent="0.25">
      <c r="A25" s="44" t="s">
        <v>176</v>
      </c>
      <c r="B25" s="38" t="s">
        <v>70</v>
      </c>
      <c r="C25" s="38" t="s">
        <v>484</v>
      </c>
    </row>
    <row r="26" spans="1:3" x14ac:dyDescent="0.25">
      <c r="A26" s="44" t="s">
        <v>177</v>
      </c>
      <c r="B26" s="35" t="s">
        <v>150</v>
      </c>
      <c r="C26" s="35" t="s">
        <v>151</v>
      </c>
    </row>
    <row r="27" spans="1:3" x14ac:dyDescent="0.25">
      <c r="A27" s="44" t="s">
        <v>178</v>
      </c>
      <c r="B27" s="38" t="s">
        <v>68</v>
      </c>
      <c r="C27" s="38" t="s">
        <v>29</v>
      </c>
    </row>
    <row r="28" spans="1:3" x14ac:dyDescent="0.25">
      <c r="A28" s="44" t="s">
        <v>179</v>
      </c>
      <c r="B28" s="38" t="s">
        <v>69</v>
      </c>
      <c r="C28" s="38" t="s">
        <v>30</v>
      </c>
    </row>
    <row r="29" spans="1:3" x14ac:dyDescent="0.25">
      <c r="A29" s="44" t="s">
        <v>180</v>
      </c>
      <c r="B29" s="38" t="s">
        <v>74</v>
      </c>
      <c r="C29" s="38" t="s">
        <v>477</v>
      </c>
    </row>
    <row r="30" spans="1:3" x14ac:dyDescent="0.25">
      <c r="A30" s="44" t="s">
        <v>181</v>
      </c>
      <c r="B30" s="38" t="s">
        <v>75</v>
      </c>
      <c r="C30" s="38" t="s">
        <v>478</v>
      </c>
    </row>
    <row r="31" spans="1:3" x14ac:dyDescent="0.25">
      <c r="A31" s="44" t="s">
        <v>182</v>
      </c>
      <c r="B31" s="38" t="s">
        <v>77</v>
      </c>
      <c r="C31" s="38" t="s">
        <v>479</v>
      </c>
    </row>
    <row r="32" spans="1:3" x14ac:dyDescent="0.25">
      <c r="A32" s="44" t="s">
        <v>183</v>
      </c>
      <c r="B32" s="38" t="s">
        <v>76</v>
      </c>
      <c r="C32" s="38" t="s">
        <v>480</v>
      </c>
    </row>
    <row r="33" spans="1:3" x14ac:dyDescent="0.25">
      <c r="A33" s="44" t="s">
        <v>184</v>
      </c>
      <c r="B33" s="38" t="s">
        <v>73</v>
      </c>
      <c r="C33" s="38" t="s">
        <v>481</v>
      </c>
    </row>
    <row r="34" spans="1:3" x14ac:dyDescent="0.25">
      <c r="A34" s="44" t="s">
        <v>185</v>
      </c>
      <c r="B34" s="38" t="s">
        <v>72</v>
      </c>
      <c r="C34" s="38" t="s">
        <v>482</v>
      </c>
    </row>
    <row r="35" spans="1:3" x14ac:dyDescent="0.25">
      <c r="A35" s="44" t="s">
        <v>186</v>
      </c>
      <c r="B35" s="38" t="s">
        <v>71</v>
      </c>
      <c r="C35" s="38" t="s">
        <v>483</v>
      </c>
    </row>
    <row r="36" spans="1:3" x14ac:dyDescent="0.25">
      <c r="A36" s="44" t="s">
        <v>187</v>
      </c>
      <c r="B36" s="38" t="s">
        <v>6</v>
      </c>
      <c r="C36" s="38" t="s">
        <v>37</v>
      </c>
    </row>
    <row r="37" spans="1:3" x14ac:dyDescent="0.25">
      <c r="A37" s="44" t="s">
        <v>188</v>
      </c>
      <c r="B37" s="38" t="s">
        <v>7</v>
      </c>
      <c r="C37" s="38" t="s">
        <v>38</v>
      </c>
    </row>
    <row r="38" spans="1:3" x14ac:dyDescent="0.25">
      <c r="A38" s="44" t="s">
        <v>189</v>
      </c>
      <c r="B38" s="38" t="s">
        <v>8</v>
      </c>
      <c r="C38" s="38" t="s">
        <v>39</v>
      </c>
    </row>
    <row r="39" spans="1:3" x14ac:dyDescent="0.25">
      <c r="A39" s="44" t="s">
        <v>190</v>
      </c>
      <c r="B39" s="38" t="s">
        <v>10</v>
      </c>
      <c r="C39" s="38" t="s">
        <v>42</v>
      </c>
    </row>
    <row r="40" spans="1:3" x14ac:dyDescent="0.25">
      <c r="A40" s="44" t="s">
        <v>191</v>
      </c>
      <c r="B40" s="38" t="s">
        <v>11</v>
      </c>
      <c r="C40" s="38" t="s">
        <v>40</v>
      </c>
    </row>
    <row r="41" spans="1:3" x14ac:dyDescent="0.25">
      <c r="A41" s="44" t="s">
        <v>192</v>
      </c>
      <c r="B41" s="38" t="s">
        <v>12</v>
      </c>
      <c r="C41" s="38" t="s">
        <v>41</v>
      </c>
    </row>
    <row r="42" spans="1:3" x14ac:dyDescent="0.25">
      <c r="A42" s="44" t="s">
        <v>193</v>
      </c>
      <c r="B42" s="38" t="s">
        <v>13</v>
      </c>
      <c r="C42" s="38" t="s">
        <v>60</v>
      </c>
    </row>
    <row r="43" spans="1:3" x14ac:dyDescent="0.25">
      <c r="A43" s="44" t="s">
        <v>194</v>
      </c>
      <c r="B43" s="38" t="s">
        <v>51</v>
      </c>
      <c r="C43" s="38" t="s">
        <v>53</v>
      </c>
    </row>
    <row r="44" spans="1:3" x14ac:dyDescent="0.25">
      <c r="A44" s="44" t="s">
        <v>195</v>
      </c>
      <c r="B44" s="38" t="s">
        <v>52</v>
      </c>
      <c r="C44" s="38" t="s">
        <v>54</v>
      </c>
    </row>
    <row r="45" spans="1:3" x14ac:dyDescent="0.25">
      <c r="A45" s="44" t="s">
        <v>196</v>
      </c>
      <c r="B45" s="38" t="s">
        <v>83</v>
      </c>
      <c r="C45" s="72" t="s">
        <v>467</v>
      </c>
    </row>
    <row r="46" spans="1:3" x14ac:dyDescent="0.25">
      <c r="A46" s="44" t="s">
        <v>197</v>
      </c>
      <c r="B46" s="38" t="s">
        <v>78</v>
      </c>
      <c r="C46" s="38" t="s">
        <v>468</v>
      </c>
    </row>
    <row r="47" spans="1:3" x14ac:dyDescent="0.25">
      <c r="A47" s="44" t="s">
        <v>198</v>
      </c>
      <c r="B47" s="38" t="s">
        <v>402</v>
      </c>
      <c r="C47" s="38" t="s">
        <v>471</v>
      </c>
    </row>
    <row r="48" spans="1:3" x14ac:dyDescent="0.25">
      <c r="A48" s="44" t="s">
        <v>199</v>
      </c>
      <c r="B48" s="38" t="s">
        <v>403</v>
      </c>
      <c r="C48" s="38" t="s">
        <v>469</v>
      </c>
    </row>
    <row r="49" spans="1:3" x14ac:dyDescent="0.25">
      <c r="A49" s="44" t="s">
        <v>200</v>
      </c>
      <c r="B49" s="38" t="s">
        <v>143</v>
      </c>
      <c r="C49" s="38" t="s">
        <v>470</v>
      </c>
    </row>
    <row r="50" spans="1:3" x14ac:dyDescent="0.25">
      <c r="A50" s="44" t="s">
        <v>201</v>
      </c>
      <c r="B50" s="38" t="s">
        <v>611</v>
      </c>
      <c r="C50" s="38" t="s">
        <v>472</v>
      </c>
    </row>
    <row r="51" spans="1:3" x14ac:dyDescent="0.25">
      <c r="A51" s="44" t="s">
        <v>202</v>
      </c>
      <c r="B51" s="38" t="s">
        <v>327</v>
      </c>
      <c r="C51" s="38" t="s">
        <v>473</v>
      </c>
    </row>
    <row r="52" spans="1:3" x14ac:dyDescent="0.25">
      <c r="A52" s="44" t="s">
        <v>203</v>
      </c>
      <c r="B52" s="38" t="s">
        <v>362</v>
      </c>
      <c r="C52" s="38" t="s">
        <v>474</v>
      </c>
    </row>
    <row r="53" spans="1:3" x14ac:dyDescent="0.25">
      <c r="A53" s="44" t="s">
        <v>204</v>
      </c>
      <c r="B53" s="38" t="s">
        <v>476</v>
      </c>
      <c r="C53" s="38" t="s">
        <v>475</v>
      </c>
    </row>
    <row r="54" spans="1:3" x14ac:dyDescent="0.25">
      <c r="A54" s="44" t="s">
        <v>205</v>
      </c>
      <c r="B54" s="38" t="s">
        <v>97</v>
      </c>
      <c r="C54" s="38" t="s">
        <v>79</v>
      </c>
    </row>
    <row r="55" spans="1:3" x14ac:dyDescent="0.25">
      <c r="A55" s="44" t="s">
        <v>206</v>
      </c>
      <c r="B55" s="38" t="s">
        <v>272</v>
      </c>
      <c r="C55" s="38" t="s">
        <v>271</v>
      </c>
    </row>
    <row r="56" spans="1:3" x14ac:dyDescent="0.25">
      <c r="A56" s="44" t="s">
        <v>207</v>
      </c>
      <c r="B56" s="38" t="s">
        <v>7</v>
      </c>
      <c r="C56" s="40" t="s">
        <v>38</v>
      </c>
    </row>
    <row r="57" spans="1:3" x14ac:dyDescent="0.25">
      <c r="A57" s="44" t="s">
        <v>208</v>
      </c>
      <c r="B57" s="38" t="s">
        <v>59</v>
      </c>
      <c r="C57" s="38" t="s">
        <v>600</v>
      </c>
    </row>
    <row r="58" spans="1:3" x14ac:dyDescent="0.25">
      <c r="A58" s="44" t="s">
        <v>209</v>
      </c>
      <c r="B58" s="38" t="s">
        <v>80</v>
      </c>
      <c r="C58" s="38" t="s">
        <v>601</v>
      </c>
    </row>
    <row r="59" spans="1:3" x14ac:dyDescent="0.25">
      <c r="A59" s="44" t="s">
        <v>210</v>
      </c>
      <c r="B59" s="38" t="s">
        <v>140</v>
      </c>
      <c r="C59" s="38" t="s">
        <v>141</v>
      </c>
    </row>
    <row r="60" spans="1:3" x14ac:dyDescent="0.25">
      <c r="A60" s="44" t="s">
        <v>211</v>
      </c>
      <c r="B60" s="38" t="s">
        <v>81</v>
      </c>
      <c r="C60" s="38" t="s">
        <v>82</v>
      </c>
    </row>
    <row r="61" spans="1:3" x14ac:dyDescent="0.25">
      <c r="A61" s="44" t="s">
        <v>212</v>
      </c>
      <c r="B61" s="38" t="s">
        <v>57</v>
      </c>
      <c r="C61" s="38" t="s">
        <v>61</v>
      </c>
    </row>
    <row r="62" spans="1:3" x14ac:dyDescent="0.25">
      <c r="A62" s="44" t="s">
        <v>213</v>
      </c>
      <c r="B62" s="38" t="s">
        <v>101</v>
      </c>
      <c r="C62" s="38" t="s">
        <v>103</v>
      </c>
    </row>
    <row r="63" spans="1:3" x14ac:dyDescent="0.25">
      <c r="A63" s="44" t="s">
        <v>214</v>
      </c>
      <c r="B63" s="38" t="s">
        <v>108</v>
      </c>
      <c r="C63" s="38" t="s">
        <v>110</v>
      </c>
    </row>
    <row r="64" spans="1:3" x14ac:dyDescent="0.25">
      <c r="A64" s="44" t="s">
        <v>215</v>
      </c>
      <c r="B64" s="38" t="s">
        <v>109</v>
      </c>
      <c r="C64" s="38" t="s">
        <v>111</v>
      </c>
    </row>
    <row r="65" spans="1:3" x14ac:dyDescent="0.25">
      <c r="A65" s="44" t="s">
        <v>216</v>
      </c>
      <c r="B65" s="38" t="s">
        <v>139</v>
      </c>
      <c r="C65" s="38" t="s">
        <v>466</v>
      </c>
    </row>
    <row r="66" spans="1:3" x14ac:dyDescent="0.25">
      <c r="A66" s="44" t="s">
        <v>217</v>
      </c>
      <c r="B66" s="38" t="s">
        <v>112</v>
      </c>
      <c r="C66" s="38" t="s">
        <v>113</v>
      </c>
    </row>
    <row r="67" spans="1:3" x14ac:dyDescent="0.25">
      <c r="A67" s="44" t="s">
        <v>218</v>
      </c>
      <c r="B67" s="38" t="s">
        <v>146</v>
      </c>
      <c r="C67" s="72" t="s">
        <v>463</v>
      </c>
    </row>
    <row r="68" spans="1:3" x14ac:dyDescent="0.25">
      <c r="A68" s="44" t="s">
        <v>219</v>
      </c>
      <c r="B68" s="38" t="s">
        <v>145</v>
      </c>
      <c r="C68" s="38" t="s">
        <v>464</v>
      </c>
    </row>
    <row r="69" spans="1:3" x14ac:dyDescent="0.25">
      <c r="A69" s="44" t="s">
        <v>220</v>
      </c>
      <c r="B69" s="38" t="s">
        <v>144</v>
      </c>
      <c r="C69" s="38" t="s">
        <v>465</v>
      </c>
    </row>
    <row r="70" spans="1:3" x14ac:dyDescent="0.25">
      <c r="A70" s="44" t="s">
        <v>221</v>
      </c>
      <c r="B70" s="38" t="s">
        <v>147</v>
      </c>
      <c r="C70" s="38" t="s">
        <v>603</v>
      </c>
    </row>
    <row r="71" spans="1:3" x14ac:dyDescent="0.25">
      <c r="A71" s="44" t="s">
        <v>222</v>
      </c>
      <c r="B71" s="38" t="s">
        <v>94</v>
      </c>
      <c r="C71" s="38" t="s">
        <v>460</v>
      </c>
    </row>
    <row r="72" spans="1:3" x14ac:dyDescent="0.25">
      <c r="A72" s="44" t="s">
        <v>223</v>
      </c>
      <c r="B72" s="38" t="s">
        <v>95</v>
      </c>
      <c r="C72" s="38" t="s">
        <v>462</v>
      </c>
    </row>
    <row r="73" spans="1:3" x14ac:dyDescent="0.25">
      <c r="A73" s="44" t="s">
        <v>224</v>
      </c>
      <c r="B73" s="38" t="s">
        <v>96</v>
      </c>
      <c r="C73" s="38" t="s">
        <v>461</v>
      </c>
    </row>
    <row r="74" spans="1:3" x14ac:dyDescent="0.25">
      <c r="A74" s="44" t="s">
        <v>225</v>
      </c>
      <c r="B74" s="38" t="s">
        <v>104</v>
      </c>
      <c r="C74" s="38" t="s">
        <v>105</v>
      </c>
    </row>
    <row r="75" spans="1:3" x14ac:dyDescent="0.25">
      <c r="A75" s="44" t="s">
        <v>226</v>
      </c>
      <c r="B75" s="38" t="s">
        <v>55</v>
      </c>
      <c r="C75" s="38" t="s">
        <v>227</v>
      </c>
    </row>
    <row r="76" spans="1:3" x14ac:dyDescent="0.25">
      <c r="A76" s="44" t="s">
        <v>228</v>
      </c>
      <c r="B76" s="38" t="s">
        <v>56</v>
      </c>
      <c r="C76" s="38" t="s">
        <v>229</v>
      </c>
    </row>
    <row r="77" spans="1:3" x14ac:dyDescent="0.25">
      <c r="A77" s="44" t="s">
        <v>231</v>
      </c>
      <c r="B77" s="38" t="s">
        <v>235</v>
      </c>
      <c r="C77" s="38" t="s">
        <v>457</v>
      </c>
    </row>
    <row r="78" spans="1:3" x14ac:dyDescent="0.25">
      <c r="A78" s="44" t="s">
        <v>232</v>
      </c>
      <c r="B78" s="38" t="s">
        <v>691</v>
      </c>
      <c r="C78" s="38" t="s">
        <v>693</v>
      </c>
    </row>
    <row r="79" spans="1:3" x14ac:dyDescent="0.25">
      <c r="A79" s="44" t="s">
        <v>233</v>
      </c>
      <c r="B79" s="38" t="s">
        <v>234</v>
      </c>
      <c r="C79" s="38" t="s">
        <v>458</v>
      </c>
    </row>
    <row r="80" spans="1:3" x14ac:dyDescent="0.25">
      <c r="A80" s="44" t="s">
        <v>236</v>
      </c>
      <c r="B80" s="38" t="s">
        <v>242</v>
      </c>
      <c r="C80" s="38" t="s">
        <v>459</v>
      </c>
    </row>
    <row r="81" spans="1:3" x14ac:dyDescent="0.25">
      <c r="A81" s="44" t="s">
        <v>237</v>
      </c>
      <c r="B81" s="35" t="s">
        <v>243</v>
      </c>
      <c r="C81" s="35" t="s">
        <v>244</v>
      </c>
    </row>
    <row r="82" spans="1:3" x14ac:dyDescent="0.25">
      <c r="A82" s="44" t="s">
        <v>238</v>
      </c>
      <c r="B82" s="35" t="s">
        <v>245</v>
      </c>
      <c r="C82" s="35" t="s">
        <v>246</v>
      </c>
    </row>
    <row r="83" spans="1:3" x14ac:dyDescent="0.25">
      <c r="A83" s="44" t="s">
        <v>239</v>
      </c>
      <c r="B83" s="35" t="s">
        <v>247</v>
      </c>
      <c r="C83" s="35" t="s">
        <v>248</v>
      </c>
    </row>
    <row r="84" spans="1:3" x14ac:dyDescent="0.25">
      <c r="A84" s="44" t="s">
        <v>240</v>
      </c>
      <c r="B84" s="35" t="s">
        <v>249</v>
      </c>
      <c r="C84" s="35" t="s">
        <v>250</v>
      </c>
    </row>
    <row r="85" spans="1:3" x14ac:dyDescent="0.25">
      <c r="A85" s="44" t="s">
        <v>241</v>
      </c>
      <c r="B85" s="35" t="s">
        <v>251</v>
      </c>
      <c r="C85" s="35" t="s">
        <v>252</v>
      </c>
    </row>
    <row r="86" spans="1:3" x14ac:dyDescent="0.25">
      <c r="A86" s="44" t="s">
        <v>253</v>
      </c>
      <c r="B86" s="38" t="s">
        <v>264</v>
      </c>
      <c r="C86" s="38" t="s">
        <v>263</v>
      </c>
    </row>
    <row r="87" spans="1:3" x14ac:dyDescent="0.25">
      <c r="A87" s="44" t="s">
        <v>254</v>
      </c>
      <c r="B87" s="38" t="s">
        <v>268</v>
      </c>
      <c r="C87" s="38" t="s">
        <v>267</v>
      </c>
    </row>
    <row r="88" spans="1:3" x14ac:dyDescent="0.25">
      <c r="A88" s="44" t="s">
        <v>255</v>
      </c>
      <c r="B88" s="38" t="s">
        <v>424</v>
      </c>
      <c r="C88" s="38" t="s">
        <v>423</v>
      </c>
    </row>
    <row r="89" spans="1:3" x14ac:dyDescent="0.25">
      <c r="A89" s="44" t="s">
        <v>256</v>
      </c>
      <c r="B89" s="38" t="s">
        <v>386</v>
      </c>
      <c r="C89" s="38" t="s">
        <v>442</v>
      </c>
    </row>
    <row r="90" spans="1:3" x14ac:dyDescent="0.25">
      <c r="A90" s="44" t="s">
        <v>257</v>
      </c>
      <c r="B90" s="38" t="s">
        <v>387</v>
      </c>
      <c r="C90" s="38" t="s">
        <v>443</v>
      </c>
    </row>
    <row r="91" spans="1:3" x14ac:dyDescent="0.25">
      <c r="A91" s="44" t="s">
        <v>412</v>
      </c>
      <c r="B91" s="38" t="s">
        <v>388</v>
      </c>
      <c r="C91" s="38" t="s">
        <v>444</v>
      </c>
    </row>
    <row r="92" spans="1:3" x14ac:dyDescent="0.25">
      <c r="A92" s="44" t="s">
        <v>413</v>
      </c>
      <c r="B92" s="38" t="s">
        <v>446</v>
      </c>
      <c r="C92" s="38" t="s">
        <v>445</v>
      </c>
    </row>
    <row r="93" spans="1:3" x14ac:dyDescent="0.25">
      <c r="A93" s="44" t="s">
        <v>414</v>
      </c>
      <c r="B93" s="38" t="s">
        <v>381</v>
      </c>
      <c r="C93" s="38" t="s">
        <v>447</v>
      </c>
    </row>
    <row r="94" spans="1:3" x14ac:dyDescent="0.25">
      <c r="A94" s="44" t="s">
        <v>415</v>
      </c>
      <c r="B94" s="38" t="s">
        <v>365</v>
      </c>
      <c r="C94" s="38" t="s">
        <v>448</v>
      </c>
    </row>
    <row r="95" spans="1:3" x14ac:dyDescent="0.25">
      <c r="A95" s="44" t="s">
        <v>416</v>
      </c>
      <c r="B95" s="38" t="s">
        <v>425</v>
      </c>
      <c r="C95" s="38" t="s">
        <v>449</v>
      </c>
    </row>
    <row r="96" spans="1:3" x14ac:dyDescent="0.25">
      <c r="A96" s="44" t="s">
        <v>417</v>
      </c>
      <c r="B96" s="38" t="s">
        <v>406</v>
      </c>
      <c r="C96" s="38" t="s">
        <v>450</v>
      </c>
    </row>
    <row r="97" spans="1:3" x14ac:dyDescent="0.25">
      <c r="A97" s="44" t="s">
        <v>418</v>
      </c>
      <c r="B97" s="38" t="s">
        <v>399</v>
      </c>
      <c r="C97" s="38" t="s">
        <v>451</v>
      </c>
    </row>
    <row r="98" spans="1:3" x14ac:dyDescent="0.25">
      <c r="A98" s="44" t="s">
        <v>419</v>
      </c>
      <c r="B98" s="38" t="s">
        <v>400</v>
      </c>
      <c r="C98" s="38" t="s">
        <v>452</v>
      </c>
    </row>
    <row r="99" spans="1:3" x14ac:dyDescent="0.25">
      <c r="A99" s="44" t="s">
        <v>420</v>
      </c>
      <c r="B99" s="38" t="s">
        <v>411</v>
      </c>
      <c r="C99" s="38" t="s">
        <v>453</v>
      </c>
    </row>
    <row r="100" spans="1:3" x14ac:dyDescent="0.25">
      <c r="A100" s="44" t="s">
        <v>421</v>
      </c>
      <c r="B100" s="38" t="s">
        <v>385</v>
      </c>
      <c r="C100" s="38" t="s">
        <v>454</v>
      </c>
    </row>
    <row r="101" spans="1:3" x14ac:dyDescent="0.25">
      <c r="A101" s="44" t="s">
        <v>422</v>
      </c>
      <c r="B101" s="38" t="s">
        <v>405</v>
      </c>
      <c r="C101" s="38" t="s">
        <v>455</v>
      </c>
    </row>
    <row r="102" spans="1:3" x14ac:dyDescent="0.25">
      <c r="A102" s="44" t="s">
        <v>426</v>
      </c>
      <c r="B102" s="38" t="s">
        <v>372</v>
      </c>
      <c r="C102" s="38" t="s">
        <v>456</v>
      </c>
    </row>
    <row r="103" spans="1:3" x14ac:dyDescent="0.25">
      <c r="A103" s="44" t="s">
        <v>427</v>
      </c>
      <c r="B103" s="38" t="s">
        <v>366</v>
      </c>
      <c r="C103" s="38" t="s">
        <v>485</v>
      </c>
    </row>
    <row r="104" spans="1:3" x14ac:dyDescent="0.25">
      <c r="A104" s="44" t="s">
        <v>428</v>
      </c>
      <c r="B104" s="38" t="s">
        <v>274</v>
      </c>
      <c r="C104" s="38" t="s">
        <v>486</v>
      </c>
    </row>
    <row r="105" spans="1:3" x14ac:dyDescent="0.25">
      <c r="A105" s="44" t="s">
        <v>429</v>
      </c>
      <c r="B105" s="38" t="s">
        <v>287</v>
      </c>
      <c r="C105" s="38" t="s">
        <v>495</v>
      </c>
    </row>
    <row r="106" spans="1:3" x14ac:dyDescent="0.25">
      <c r="A106" s="44" t="s">
        <v>430</v>
      </c>
      <c r="B106" s="38" t="s">
        <v>288</v>
      </c>
      <c r="C106" s="38" t="s">
        <v>496</v>
      </c>
    </row>
    <row r="107" spans="1:3" x14ac:dyDescent="0.25">
      <c r="A107" s="44" t="s">
        <v>431</v>
      </c>
      <c r="B107" s="38" t="s">
        <v>289</v>
      </c>
      <c r="C107" s="38" t="s">
        <v>497</v>
      </c>
    </row>
    <row r="108" spans="1:3" x14ac:dyDescent="0.25">
      <c r="A108" s="44" t="s">
        <v>432</v>
      </c>
      <c r="B108" s="38" t="s">
        <v>290</v>
      </c>
      <c r="C108" s="38" t="s">
        <v>498</v>
      </c>
    </row>
    <row r="109" spans="1:3" x14ac:dyDescent="0.25">
      <c r="A109" s="44" t="s">
        <v>433</v>
      </c>
      <c r="B109" s="38" t="s">
        <v>291</v>
      </c>
      <c r="C109" s="38" t="s">
        <v>499</v>
      </c>
    </row>
    <row r="110" spans="1:3" x14ac:dyDescent="0.25">
      <c r="A110" s="44" t="s">
        <v>434</v>
      </c>
      <c r="B110" s="38" t="s">
        <v>292</v>
      </c>
      <c r="C110" s="38" t="s">
        <v>500</v>
      </c>
    </row>
    <row r="111" spans="1:3" x14ac:dyDescent="0.25">
      <c r="A111" s="44" t="s">
        <v>487</v>
      </c>
      <c r="B111" s="38" t="s">
        <v>293</v>
      </c>
      <c r="C111" s="38" t="s">
        <v>501</v>
      </c>
    </row>
    <row r="112" spans="1:3" x14ac:dyDescent="0.25">
      <c r="A112" s="44" t="s">
        <v>488</v>
      </c>
      <c r="B112" s="38" t="s">
        <v>294</v>
      </c>
      <c r="C112" s="38" t="s">
        <v>502</v>
      </c>
    </row>
    <row r="113" spans="1:3" x14ac:dyDescent="0.25">
      <c r="A113" s="44" t="s">
        <v>489</v>
      </c>
      <c r="B113" s="38" t="s">
        <v>505</v>
      </c>
      <c r="C113" s="38" t="s">
        <v>503</v>
      </c>
    </row>
    <row r="114" spans="1:3" x14ac:dyDescent="0.25">
      <c r="A114" s="44" t="s">
        <v>490</v>
      </c>
      <c r="B114" s="38" t="s">
        <v>506</v>
      </c>
      <c r="C114" s="38" t="s">
        <v>504</v>
      </c>
    </row>
    <row r="115" spans="1:3" x14ac:dyDescent="0.25">
      <c r="A115" s="44" t="s">
        <v>491</v>
      </c>
      <c r="B115" s="38" t="s">
        <v>142</v>
      </c>
      <c r="C115" s="38" t="s">
        <v>510</v>
      </c>
    </row>
    <row r="116" spans="1:3" x14ac:dyDescent="0.25">
      <c r="A116" s="44" t="s">
        <v>492</v>
      </c>
      <c r="B116" s="38" t="s">
        <v>58</v>
      </c>
      <c r="C116" s="38" t="s">
        <v>509</v>
      </c>
    </row>
    <row r="117" spans="1:3" ht="25.5" x14ac:dyDescent="0.25">
      <c r="A117" s="44" t="s">
        <v>493</v>
      </c>
      <c r="B117" s="72" t="s">
        <v>507</v>
      </c>
      <c r="C117" s="72" t="s">
        <v>508</v>
      </c>
    </row>
    <row r="118" spans="1:3" x14ac:dyDescent="0.25">
      <c r="A118" s="44" t="s">
        <v>494</v>
      </c>
      <c r="B118" s="38" t="s">
        <v>363</v>
      </c>
      <c r="C118" s="38" t="s">
        <v>535</v>
      </c>
    </row>
    <row r="119" spans="1:3" x14ac:dyDescent="0.25">
      <c r="A119" s="44" t="s">
        <v>511</v>
      </c>
      <c r="B119" s="38" t="s">
        <v>360</v>
      </c>
      <c r="C119" s="38" t="s">
        <v>552</v>
      </c>
    </row>
    <row r="120" spans="1:3" x14ac:dyDescent="0.25">
      <c r="A120" s="44" t="s">
        <v>512</v>
      </c>
      <c r="B120" s="38" t="s">
        <v>361</v>
      </c>
      <c r="C120" s="38" t="s">
        <v>536</v>
      </c>
    </row>
    <row r="121" spans="1:3" x14ac:dyDescent="0.25">
      <c r="A121" s="44" t="s">
        <v>513</v>
      </c>
      <c r="B121" s="38" t="s">
        <v>330</v>
      </c>
      <c r="C121" s="38" t="s">
        <v>537</v>
      </c>
    </row>
    <row r="122" spans="1:3" x14ac:dyDescent="0.25">
      <c r="A122" s="44" t="s">
        <v>514</v>
      </c>
      <c r="B122" s="38" t="s">
        <v>331</v>
      </c>
      <c r="C122" s="38" t="s">
        <v>538</v>
      </c>
    </row>
    <row r="123" spans="1:3" x14ac:dyDescent="0.25">
      <c r="A123" s="44" t="s">
        <v>515</v>
      </c>
      <c r="B123" s="38" t="s">
        <v>329</v>
      </c>
      <c r="C123" s="38" t="s">
        <v>539</v>
      </c>
    </row>
    <row r="124" spans="1:3" x14ac:dyDescent="0.25">
      <c r="A124" s="44" t="s">
        <v>516</v>
      </c>
      <c r="B124" s="38" t="s">
        <v>343</v>
      </c>
      <c r="C124" s="38" t="s">
        <v>540</v>
      </c>
    </row>
    <row r="125" spans="1:3" x14ac:dyDescent="0.25">
      <c r="A125" s="44" t="s">
        <v>517</v>
      </c>
      <c r="B125" s="38" t="s">
        <v>344</v>
      </c>
      <c r="C125" s="38" t="s">
        <v>541</v>
      </c>
    </row>
    <row r="126" spans="1:3" x14ac:dyDescent="0.25">
      <c r="A126" s="44" t="s">
        <v>518</v>
      </c>
      <c r="B126" s="38" t="s">
        <v>545</v>
      </c>
      <c r="C126" s="38" t="s">
        <v>546</v>
      </c>
    </row>
    <row r="127" spans="1:3" x14ac:dyDescent="0.25">
      <c r="A127" s="44" t="s">
        <v>519</v>
      </c>
      <c r="B127" s="38" t="s">
        <v>351</v>
      </c>
      <c r="C127" s="38" t="s">
        <v>542</v>
      </c>
    </row>
    <row r="128" spans="1:3" x14ac:dyDescent="0.25">
      <c r="A128" s="44" t="s">
        <v>520</v>
      </c>
      <c r="B128" s="38" t="s">
        <v>332</v>
      </c>
      <c r="C128" s="38" t="s">
        <v>543</v>
      </c>
    </row>
    <row r="129" spans="1:3" x14ac:dyDescent="0.25">
      <c r="A129" s="44" t="s">
        <v>521</v>
      </c>
      <c r="B129" s="38" t="s">
        <v>333</v>
      </c>
      <c r="C129" s="38" t="s">
        <v>544</v>
      </c>
    </row>
    <row r="130" spans="1:3" x14ac:dyDescent="0.25">
      <c r="A130" s="44" t="s">
        <v>522</v>
      </c>
      <c r="B130" s="38" t="s">
        <v>295</v>
      </c>
      <c r="C130" s="38" t="s">
        <v>547</v>
      </c>
    </row>
    <row r="131" spans="1:3" x14ac:dyDescent="0.25">
      <c r="A131" s="44" t="s">
        <v>523</v>
      </c>
      <c r="B131" s="38" t="s">
        <v>326</v>
      </c>
      <c r="C131" s="38" t="s">
        <v>548</v>
      </c>
    </row>
    <row r="132" spans="1:3" x14ac:dyDescent="0.25">
      <c r="A132" s="44" t="s">
        <v>524</v>
      </c>
      <c r="B132" s="38" t="s">
        <v>325</v>
      </c>
      <c r="C132" s="38" t="s">
        <v>549</v>
      </c>
    </row>
    <row r="133" spans="1:3" x14ac:dyDescent="0.25">
      <c r="A133" s="44" t="s">
        <v>525</v>
      </c>
      <c r="B133" s="38" t="s">
        <v>337</v>
      </c>
      <c r="C133" s="38" t="s">
        <v>550</v>
      </c>
    </row>
    <row r="134" spans="1:3" x14ac:dyDescent="0.25">
      <c r="A134" s="44" t="s">
        <v>526</v>
      </c>
      <c r="B134" s="38" t="s">
        <v>359</v>
      </c>
      <c r="C134" s="38" t="s">
        <v>551</v>
      </c>
    </row>
    <row r="135" spans="1:3" x14ac:dyDescent="0.25">
      <c r="A135" s="44" t="s">
        <v>527</v>
      </c>
      <c r="B135" s="38" t="s">
        <v>401</v>
      </c>
      <c r="C135" s="38" t="s">
        <v>555</v>
      </c>
    </row>
    <row r="136" spans="1:3" x14ac:dyDescent="0.25">
      <c r="A136" s="44" t="s">
        <v>528</v>
      </c>
      <c r="B136" s="38" t="s">
        <v>350</v>
      </c>
      <c r="C136" s="38" t="s">
        <v>556</v>
      </c>
    </row>
    <row r="137" spans="1:3" x14ac:dyDescent="0.25">
      <c r="A137" s="44" t="s">
        <v>529</v>
      </c>
      <c r="B137" s="38" t="s">
        <v>349</v>
      </c>
      <c r="C137" s="38" t="s">
        <v>553</v>
      </c>
    </row>
    <row r="138" spans="1:3" x14ac:dyDescent="0.25">
      <c r="A138" s="44" t="s">
        <v>530</v>
      </c>
      <c r="B138" s="38" t="s">
        <v>345</v>
      </c>
      <c r="C138" s="38" t="s">
        <v>554</v>
      </c>
    </row>
    <row r="139" spans="1:3" x14ac:dyDescent="0.25">
      <c r="A139" s="44" t="s">
        <v>531</v>
      </c>
      <c r="B139" s="38" t="s">
        <v>354</v>
      </c>
      <c r="C139" s="38" t="s">
        <v>570</v>
      </c>
    </row>
    <row r="140" spans="1:3" x14ac:dyDescent="0.25">
      <c r="A140" s="44" t="s">
        <v>532</v>
      </c>
      <c r="B140" s="38" t="s">
        <v>340</v>
      </c>
      <c r="C140" s="38" t="s">
        <v>566</v>
      </c>
    </row>
    <row r="141" spans="1:3" x14ac:dyDescent="0.25">
      <c r="A141" s="44" t="s">
        <v>533</v>
      </c>
      <c r="B141" s="38" t="s">
        <v>353</v>
      </c>
      <c r="C141" s="38" t="s">
        <v>571</v>
      </c>
    </row>
    <row r="142" spans="1:3" x14ac:dyDescent="0.25">
      <c r="A142" s="44" t="s">
        <v>534</v>
      </c>
      <c r="B142" s="38" t="s">
        <v>341</v>
      </c>
      <c r="C142" s="38" t="s">
        <v>567</v>
      </c>
    </row>
    <row r="143" spans="1:3" x14ac:dyDescent="0.25">
      <c r="A143" s="44" t="s">
        <v>557</v>
      </c>
      <c r="B143" s="38" t="s">
        <v>333</v>
      </c>
      <c r="C143" s="38" t="s">
        <v>544</v>
      </c>
    </row>
    <row r="144" spans="1:3" x14ac:dyDescent="0.25">
      <c r="A144" s="44" t="s">
        <v>558</v>
      </c>
      <c r="B144" s="38" t="s">
        <v>377</v>
      </c>
      <c r="C144" s="38" t="s">
        <v>572</v>
      </c>
    </row>
    <row r="145" spans="1:3" x14ac:dyDescent="0.25">
      <c r="A145" s="44" t="s">
        <v>559</v>
      </c>
      <c r="B145" s="38" t="s">
        <v>378</v>
      </c>
      <c r="C145" s="38" t="s">
        <v>568</v>
      </c>
    </row>
    <row r="146" spans="1:3" x14ac:dyDescent="0.25">
      <c r="A146" s="44" t="s">
        <v>560</v>
      </c>
      <c r="B146" s="38" t="s">
        <v>379</v>
      </c>
      <c r="C146" s="38" t="s">
        <v>569</v>
      </c>
    </row>
    <row r="147" spans="1:3" x14ac:dyDescent="0.25">
      <c r="A147" s="44" t="s">
        <v>561</v>
      </c>
      <c r="B147" s="38" t="s">
        <v>364</v>
      </c>
      <c r="C147" s="38" t="s">
        <v>573</v>
      </c>
    </row>
    <row r="148" spans="1:3" x14ac:dyDescent="0.25">
      <c r="A148" s="44" t="s">
        <v>562</v>
      </c>
      <c r="B148" s="38" t="s">
        <v>355</v>
      </c>
      <c r="C148" s="38" t="s">
        <v>595</v>
      </c>
    </row>
    <row r="149" spans="1:3" x14ac:dyDescent="0.25">
      <c r="A149" s="44" t="s">
        <v>563</v>
      </c>
      <c r="B149" s="38" t="s">
        <v>342</v>
      </c>
      <c r="C149" s="38" t="s">
        <v>587</v>
      </c>
    </row>
    <row r="150" spans="1:3" x14ac:dyDescent="0.25">
      <c r="A150" s="44" t="s">
        <v>564</v>
      </c>
      <c r="B150" s="38" t="s">
        <v>335</v>
      </c>
      <c r="C150" s="38" t="s">
        <v>588</v>
      </c>
    </row>
    <row r="151" spans="1:3" x14ac:dyDescent="0.25">
      <c r="A151" s="44" t="s">
        <v>565</v>
      </c>
      <c r="B151" s="38" t="s">
        <v>352</v>
      </c>
      <c r="C151" s="38" t="s">
        <v>596</v>
      </c>
    </row>
    <row r="152" spans="1:3" x14ac:dyDescent="0.25">
      <c r="A152" s="44" t="s">
        <v>574</v>
      </c>
      <c r="B152" s="38" t="s">
        <v>336</v>
      </c>
      <c r="C152" s="38" t="s">
        <v>589</v>
      </c>
    </row>
    <row r="153" spans="1:3" x14ac:dyDescent="0.25">
      <c r="A153" s="44" t="s">
        <v>575</v>
      </c>
      <c r="B153" s="38" t="s">
        <v>339</v>
      </c>
      <c r="C153" s="38" t="s">
        <v>590</v>
      </c>
    </row>
    <row r="154" spans="1:3" x14ac:dyDescent="0.25">
      <c r="A154" s="44" t="s">
        <v>576</v>
      </c>
      <c r="B154" s="38" t="s">
        <v>338</v>
      </c>
      <c r="C154" s="38" t="s">
        <v>591</v>
      </c>
    </row>
    <row r="155" spans="1:3" x14ac:dyDescent="0.25">
      <c r="A155" s="44" t="s">
        <v>577</v>
      </c>
      <c r="B155" s="38" t="s">
        <v>356</v>
      </c>
      <c r="C155" s="38" t="s">
        <v>597</v>
      </c>
    </row>
    <row r="156" spans="1:3" x14ac:dyDescent="0.25">
      <c r="A156" s="44" t="s">
        <v>578</v>
      </c>
      <c r="B156" s="38" t="s">
        <v>347</v>
      </c>
      <c r="C156" s="38" t="s">
        <v>592</v>
      </c>
    </row>
    <row r="157" spans="1:3" x14ac:dyDescent="0.25">
      <c r="A157" s="44" t="s">
        <v>579</v>
      </c>
      <c r="B157" s="38" t="s">
        <v>357</v>
      </c>
      <c r="C157" s="38" t="s">
        <v>598</v>
      </c>
    </row>
    <row r="158" spans="1:3" x14ac:dyDescent="0.25">
      <c r="A158" s="44" t="s">
        <v>580</v>
      </c>
      <c r="B158" s="38" t="s">
        <v>348</v>
      </c>
      <c r="C158" s="38" t="s">
        <v>593</v>
      </c>
    </row>
    <row r="159" spans="1:3" x14ac:dyDescent="0.25">
      <c r="A159" s="44" t="s">
        <v>581</v>
      </c>
      <c r="B159" s="38" t="s">
        <v>358</v>
      </c>
      <c r="C159" s="38" t="s">
        <v>599</v>
      </c>
    </row>
    <row r="160" spans="1:3" x14ac:dyDescent="0.25">
      <c r="A160" s="44" t="s">
        <v>582</v>
      </c>
      <c r="B160" s="38" t="s">
        <v>346</v>
      </c>
      <c r="C160" s="38" t="s">
        <v>594</v>
      </c>
    </row>
    <row r="161" spans="1:3" x14ac:dyDescent="0.25">
      <c r="A161" s="44" t="s">
        <v>583</v>
      </c>
      <c r="B161" s="38" t="s">
        <v>380</v>
      </c>
      <c r="C161" s="38" t="s">
        <v>602</v>
      </c>
    </row>
    <row r="162" spans="1:3" x14ac:dyDescent="0.25">
      <c r="A162" s="44" t="s">
        <v>584</v>
      </c>
      <c r="B162" s="38" t="s">
        <v>604</v>
      </c>
      <c r="C162" s="38" t="s">
        <v>605</v>
      </c>
    </row>
    <row r="163" spans="1:3" x14ac:dyDescent="0.25">
      <c r="A163" s="44" t="s">
        <v>585</v>
      </c>
      <c r="B163" s="38" t="s">
        <v>404</v>
      </c>
      <c r="C163" s="38" t="s">
        <v>669</v>
      </c>
    </row>
    <row r="164" spans="1:3" x14ac:dyDescent="0.25">
      <c r="A164" s="44" t="s">
        <v>586</v>
      </c>
      <c r="B164" s="38" t="s">
        <v>657</v>
      </c>
      <c r="C164" s="38" t="s">
        <v>658</v>
      </c>
    </row>
    <row r="165" spans="1:3" x14ac:dyDescent="0.25">
      <c r="A165" s="44" t="s">
        <v>619</v>
      </c>
      <c r="B165" s="38" t="s">
        <v>617</v>
      </c>
      <c r="C165" s="38" t="s">
        <v>659</v>
      </c>
    </row>
    <row r="166" spans="1:3" x14ac:dyDescent="0.25">
      <c r="A166" s="44" t="s">
        <v>620</v>
      </c>
      <c r="B166" s="38" t="s">
        <v>618</v>
      </c>
      <c r="C166" s="38" t="s">
        <v>660</v>
      </c>
    </row>
    <row r="167" spans="1:3" x14ac:dyDescent="0.25">
      <c r="A167" s="44" t="s">
        <v>621</v>
      </c>
      <c r="B167" s="38" t="s">
        <v>610</v>
      </c>
      <c r="C167" s="38" t="s">
        <v>661</v>
      </c>
    </row>
    <row r="168" spans="1:3" x14ac:dyDescent="0.25">
      <c r="A168" s="44" t="s">
        <v>622</v>
      </c>
      <c r="B168" s="38" t="s">
        <v>391</v>
      </c>
      <c r="C168" s="38" t="s">
        <v>662</v>
      </c>
    </row>
    <row r="169" spans="1:3" x14ac:dyDescent="0.25">
      <c r="A169" s="44" t="s">
        <v>623</v>
      </c>
      <c r="B169" s="38" t="s">
        <v>398</v>
      </c>
      <c r="C169" s="38" t="s">
        <v>663</v>
      </c>
    </row>
    <row r="170" spans="1:3" x14ac:dyDescent="0.25">
      <c r="A170" s="44" t="s">
        <v>624</v>
      </c>
      <c r="B170" s="38" t="s">
        <v>396</v>
      </c>
      <c r="C170" s="38" t="s">
        <v>664</v>
      </c>
    </row>
    <row r="171" spans="1:3" x14ac:dyDescent="0.25">
      <c r="A171" s="44" t="s">
        <v>625</v>
      </c>
      <c r="B171" s="38" t="s">
        <v>685</v>
      </c>
      <c r="C171" s="38" t="s">
        <v>684</v>
      </c>
    </row>
    <row r="172" spans="1:3" x14ac:dyDescent="0.25">
      <c r="A172" s="44" t="s">
        <v>626</v>
      </c>
      <c r="B172" s="38" t="s">
        <v>606</v>
      </c>
      <c r="C172" s="38" t="s">
        <v>666</v>
      </c>
    </row>
    <row r="173" spans="1:3" x14ac:dyDescent="0.25">
      <c r="A173" s="44" t="s">
        <v>627</v>
      </c>
      <c r="B173" s="38" t="s">
        <v>614</v>
      </c>
      <c r="C173" s="38" t="s">
        <v>682</v>
      </c>
    </row>
    <row r="174" spans="1:3" x14ac:dyDescent="0.25">
      <c r="A174" s="44" t="s">
        <v>628</v>
      </c>
      <c r="B174" s="38" t="s">
        <v>390</v>
      </c>
      <c r="C174" s="38" t="s">
        <v>667</v>
      </c>
    </row>
    <row r="175" spans="1:3" x14ac:dyDescent="0.25">
      <c r="A175" s="44" t="s">
        <v>629</v>
      </c>
      <c r="B175" s="38" t="s">
        <v>609</v>
      </c>
      <c r="C175" s="38" t="s">
        <v>668</v>
      </c>
    </row>
    <row r="176" spans="1:3" x14ac:dyDescent="0.25">
      <c r="A176" s="44" t="s">
        <v>630</v>
      </c>
      <c r="B176" s="38" t="s">
        <v>608</v>
      </c>
      <c r="C176" s="38" t="s">
        <v>670</v>
      </c>
    </row>
    <row r="177" spans="1:3" x14ac:dyDescent="0.25">
      <c r="A177" s="44" t="s">
        <v>631</v>
      </c>
      <c r="B177" s="38" t="s">
        <v>389</v>
      </c>
      <c r="C177" s="38" t="s">
        <v>671</v>
      </c>
    </row>
    <row r="178" spans="1:3" x14ac:dyDescent="0.25">
      <c r="A178" s="44" t="s">
        <v>632</v>
      </c>
      <c r="B178" s="38" t="s">
        <v>392</v>
      </c>
      <c r="C178" s="38" t="s">
        <v>672</v>
      </c>
    </row>
    <row r="179" spans="1:3" x14ac:dyDescent="0.25">
      <c r="A179" s="44" t="s">
        <v>633</v>
      </c>
      <c r="B179" s="38" t="s">
        <v>393</v>
      </c>
      <c r="C179" s="38" t="s">
        <v>673</v>
      </c>
    </row>
    <row r="180" spans="1:3" x14ac:dyDescent="0.25">
      <c r="A180" s="44" t="s">
        <v>634</v>
      </c>
      <c r="B180" s="38" t="s">
        <v>612</v>
      </c>
      <c r="C180" s="38" t="s">
        <v>674</v>
      </c>
    </row>
    <row r="181" spans="1:3" x14ac:dyDescent="0.25">
      <c r="A181" s="44" t="s">
        <v>635</v>
      </c>
      <c r="B181" s="38" t="s">
        <v>613</v>
      </c>
      <c r="C181" s="38" t="s">
        <v>675</v>
      </c>
    </row>
    <row r="182" spans="1:3" x14ac:dyDescent="0.25">
      <c r="A182" s="44" t="s">
        <v>636</v>
      </c>
      <c r="B182" s="38" t="s">
        <v>397</v>
      </c>
      <c r="C182" s="38" t="s">
        <v>676</v>
      </c>
    </row>
    <row r="183" spans="1:3" x14ac:dyDescent="0.25">
      <c r="A183" s="44" t="s">
        <v>637</v>
      </c>
      <c r="B183" s="38" t="s">
        <v>615</v>
      </c>
      <c r="C183" s="38" t="s">
        <v>677</v>
      </c>
    </row>
    <row r="184" spans="1:3" x14ac:dyDescent="0.25">
      <c r="A184" s="44" t="s">
        <v>638</v>
      </c>
      <c r="B184" s="38" t="s">
        <v>394</v>
      </c>
      <c r="C184" s="38" t="s">
        <v>678</v>
      </c>
    </row>
    <row r="185" spans="1:3" x14ac:dyDescent="0.25">
      <c r="A185" s="44" t="s">
        <v>639</v>
      </c>
      <c r="B185" s="38" t="s">
        <v>607</v>
      </c>
      <c r="C185" s="38" t="s">
        <v>679</v>
      </c>
    </row>
    <row r="186" spans="1:3" x14ac:dyDescent="0.25">
      <c r="A186" s="44" t="s">
        <v>640</v>
      </c>
      <c r="B186" s="38" t="s">
        <v>395</v>
      </c>
      <c r="C186" s="38" t="s">
        <v>680</v>
      </c>
    </row>
    <row r="187" spans="1:3" x14ac:dyDescent="0.25">
      <c r="A187" s="44" t="s">
        <v>641</v>
      </c>
      <c r="B187" s="38" t="s">
        <v>616</v>
      </c>
      <c r="C187" s="38" t="s">
        <v>683</v>
      </c>
    </row>
    <row r="188" spans="1:3" x14ac:dyDescent="0.25">
      <c r="A188" s="44" t="s">
        <v>642</v>
      </c>
      <c r="B188" s="38" t="s">
        <v>376</v>
      </c>
      <c r="C188" s="38" t="s">
        <v>681</v>
      </c>
    </row>
    <row r="189" spans="1:3" x14ac:dyDescent="0.25">
      <c r="A189" s="44" t="s">
        <v>643</v>
      </c>
      <c r="B189" s="38" t="s">
        <v>383</v>
      </c>
      <c r="C189" s="38" t="s">
        <v>665</v>
      </c>
    </row>
    <row r="190" spans="1:3" x14ac:dyDescent="0.25">
      <c r="A190" s="44" t="s">
        <v>644</v>
      </c>
      <c r="B190" s="38" t="s">
        <v>692</v>
      </c>
      <c r="C190" s="38" t="s">
        <v>694</v>
      </c>
    </row>
    <row r="191" spans="1:3" x14ac:dyDescent="0.25">
      <c r="A191" s="44" t="s">
        <v>645</v>
      </c>
    </row>
    <row r="192" spans="1:3" x14ac:dyDescent="0.25">
      <c r="A192" s="44" t="s">
        <v>646</v>
      </c>
    </row>
    <row r="193" spans="1:1" x14ac:dyDescent="0.25">
      <c r="A193" s="44" t="s">
        <v>647</v>
      </c>
    </row>
    <row r="194" spans="1:1" x14ac:dyDescent="0.25">
      <c r="A194" s="44" t="s">
        <v>648</v>
      </c>
    </row>
    <row r="195" spans="1:1" x14ac:dyDescent="0.25">
      <c r="A195" s="44" t="s">
        <v>649</v>
      </c>
    </row>
    <row r="196" spans="1:1" x14ac:dyDescent="0.25">
      <c r="A196" s="44" t="s">
        <v>650</v>
      </c>
    </row>
    <row r="197" spans="1:1" x14ac:dyDescent="0.25">
      <c r="A197" s="44" t="s">
        <v>651</v>
      </c>
    </row>
    <row r="198" spans="1:1" x14ac:dyDescent="0.25">
      <c r="A198" s="44" t="s">
        <v>652</v>
      </c>
    </row>
    <row r="199" spans="1:1" x14ac:dyDescent="0.25">
      <c r="A199" s="44" t="s">
        <v>653</v>
      </c>
    </row>
    <row r="200" spans="1:1" x14ac:dyDescent="0.25">
      <c r="A200" s="44" t="s">
        <v>654</v>
      </c>
    </row>
    <row r="201" spans="1:1" x14ac:dyDescent="0.25">
      <c r="A201" s="44" t="s">
        <v>655</v>
      </c>
    </row>
    <row r="202" spans="1:1" x14ac:dyDescent="0.25">
      <c r="A202" s="44" t="s">
        <v>656</v>
      </c>
    </row>
  </sheetData>
  <sheetProtection algorithmName="SHA-512" hashValue="lAb958b/FjIJHHMqg5ROj9pImRGJMc3ti4sidHcg2kZ+1n3r8R7VHBSGrMuBWptzjqMqOPiNTSvjtIhGShpgrg==" saltValue="uFYyIiBcsmWtEW7+z4fnhA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58B10-606E-421D-B510-FF1533C6F6FD}">
  <dimension ref="A1:D10"/>
  <sheetViews>
    <sheetView workbookViewId="0">
      <selection activeCell="L38" sqref="L38"/>
    </sheetView>
  </sheetViews>
  <sheetFormatPr baseColWidth="10" defaultRowHeight="12.75" x14ac:dyDescent="0.2"/>
  <cols>
    <col min="1" max="1" width="14.85546875" style="23" bestFit="1" customWidth="1"/>
    <col min="2" max="16384" width="11.42578125" style="23"/>
  </cols>
  <sheetData>
    <row r="1" spans="1:4" x14ac:dyDescent="0.2">
      <c r="A1" s="22" t="s">
        <v>107</v>
      </c>
    </row>
    <row r="2" spans="1:4" x14ac:dyDescent="0.2">
      <c r="A2" s="24"/>
    </row>
    <row r="3" spans="1:4" x14ac:dyDescent="0.2">
      <c r="A3" s="21" t="str">
        <f>IF(Information!$F$2=Text!$B$1,Text!$B$63,Text!$C$63)</f>
        <v>Ja</v>
      </c>
    </row>
    <row r="4" spans="1:4" x14ac:dyDescent="0.2">
      <c r="A4" s="21" t="str">
        <f>IF(Information!$F$2=Text!$B$1,Text!$B$64,Text!$C$64)</f>
        <v>Nein</v>
      </c>
    </row>
    <row r="5" spans="1:4" x14ac:dyDescent="0.2">
      <c r="A5" s="25"/>
    </row>
    <row r="10" spans="1:4" x14ac:dyDescent="0.2">
      <c r="D10" s="25"/>
    </row>
  </sheetData>
  <sheetProtection algorithmName="SHA-512" hashValue="UzdZwflSdMNAIJBuOpRGWgyKZYfiXbAnNPDD+ZlXwoBzPWVURnZn387zgc9t30XgNPFhV321tqRS3c3wb0BKdA==" saltValue="Dz5HHLOz7XjkEcnHjBtx+g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Information</vt:lpstr>
      <vt:lpstr>Bestandteile - Ingredients</vt:lpstr>
      <vt:lpstr>Stoffgruppen - Substance groups</vt:lpstr>
      <vt:lpstr>VOC - SVOC</vt:lpstr>
      <vt:lpstr>H-Sätze - H phrases, TRGS, MAK</vt:lpstr>
      <vt:lpstr>Weichmacher - Plasticisers, VOC</vt:lpstr>
      <vt:lpstr>Change Log</vt:lpstr>
      <vt:lpstr>Text</vt:lpstr>
      <vt:lpstr>Drop</vt:lpstr>
      <vt:lpstr>code</vt:lpstr>
      <vt:lpstr>Information!Druckbereich</vt:lpstr>
      <vt:lpstr>Jain</vt:lpstr>
      <vt:lpstr>'VOC - SVOC'!Kontrollkästchen96</vt:lpstr>
      <vt:lpstr>Language</vt:lpstr>
      <vt:lpstr>translation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Rimkus-Völker, Andrea</dc:creator>
  <cp:lastModifiedBy>Rimkus-Völker, Andrea</cp:lastModifiedBy>
  <cp:lastPrinted>2023-02-13T15:05:10Z</cp:lastPrinted>
  <dcterms:created xsi:type="dcterms:W3CDTF">2022-02-01T12:11:48Z</dcterms:created>
  <dcterms:modified xsi:type="dcterms:W3CDTF">2023-02-13T15:07:39Z</dcterms:modified>
</cp:coreProperties>
</file>